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7"/>
  <workbookPr/>
  <bookViews>
    <workbookView xWindow="4155" yWindow="4155" windowWidth="19425" windowHeight="11025" firstSheet="1" activeTab="2"/>
  </bookViews>
  <sheets>
    <sheet name="2022" sheetId="5" state="hidden" r:id="rId1"/>
    <sheet name="Реестр" sheetId="13" r:id="rId2"/>
    <sheet name="500" sheetId="9" r:id="rId3"/>
    <sheet name="Кпр" sheetId="4" r:id="rId4"/>
    <sheet name="Кзпi Кзп" sheetId="2" r:id="rId5"/>
    <sheet name="КЗп, КЗ, КЗЧ" sheetId="3" r:id="rId6"/>
    <sheet name="Индексы" sheetId="14" r:id="rId7"/>
  </sheets>
  <calcPr calcId="125725"/>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L11" i="13"/>
  <c r="F78" i="9"/>
  <c r="I12" i="13" l="1"/>
  <c r="K6" l="1"/>
  <c r="F87" i="9" l="1"/>
  <c r="F86"/>
  <c r="K11" i="13" l="1"/>
  <c r="K10"/>
  <c r="K9"/>
  <c r="K8"/>
  <c r="K7"/>
  <c r="F88" i="9" l="1"/>
  <c r="L10" i="13"/>
  <c r="L9"/>
  <c r="L8"/>
  <c r="L7"/>
  <c r="L6"/>
  <c r="L12" l="1"/>
  <c r="F60" i="9"/>
  <c r="F55"/>
  <c r="F50"/>
  <c r="F49" s="1"/>
  <c r="F39"/>
  <c r="F67" s="1"/>
  <c r="F27"/>
  <c r="F37" s="1"/>
  <c r="F9"/>
  <c r="F7" l="1"/>
  <c r="F23" s="1"/>
  <c r="F44"/>
  <c r="F65"/>
  <c r="F36"/>
  <c r="F66" s="1"/>
  <c r="F58"/>
  <c r="F19" l="1"/>
  <c r="F24" s="1"/>
  <c r="F22" s="1"/>
  <c r="F43"/>
  <c r="F68" s="1"/>
  <c r="F63" s="1"/>
  <c r="F70" l="1"/>
  <c r="F76" s="1"/>
  <c r="F75" s="1"/>
  <c r="F94" s="1"/>
  <c r="E8" i="13" s="1"/>
  <c r="E10"/>
  <c r="E9"/>
  <c r="E11" l="1"/>
  <c r="E39" i="5"/>
  <c r="E37" l="1"/>
  <c r="E46"/>
  <c r="E48"/>
  <c r="E47" s="1"/>
  <c r="E65"/>
  <c r="E59"/>
  <c r="E58"/>
  <c r="E53"/>
  <c r="E25"/>
  <c r="E35" s="1"/>
  <c r="E7"/>
  <c r="E42" l="1"/>
  <c r="E56"/>
  <c r="E63"/>
  <c r="E34"/>
  <c r="E64" s="1"/>
  <c r="E5"/>
  <c r="E17" s="1"/>
  <c r="E7" i="13" l="1"/>
  <c r="E41" i="5"/>
  <c r="E66" s="1"/>
  <c r="E61" s="1"/>
  <c r="E22"/>
  <c r="E21"/>
  <c r="E6" i="13" l="1"/>
  <c r="E12" s="1"/>
  <c r="E20" i="5"/>
  <c r="E68" s="1"/>
  <c r="E73" s="1"/>
  <c r="E72" s="1"/>
  <c r="E91" l="1"/>
</calcChain>
</file>

<file path=xl/sharedStrings.xml><?xml version="1.0" encoding="utf-8"?>
<sst xmlns="http://schemas.openxmlformats.org/spreadsheetml/2006/main" count="823" uniqueCount="360">
  <si>
    <t>Расчет себестоимости 1 км пробега автобуса</t>
  </si>
  <si>
    <t>№ п/п</t>
  </si>
  <si>
    <t>Наименование показателя</t>
  </si>
  <si>
    <t>Обозначение показателя</t>
  </si>
  <si>
    <t>Ед. изм.</t>
  </si>
  <si>
    <t>Значение</t>
  </si>
  <si>
    <t>Примечание</t>
  </si>
  <si>
    <t>I</t>
  </si>
  <si>
    <t>час</t>
  </si>
  <si>
    <t>Расходы на оплату труда водителей транспортных средств на 1 км пробега</t>
  </si>
  <si>
    <r>
      <t>Poтв</t>
    </r>
    <r>
      <rPr>
        <b/>
        <vertAlign val="subscript"/>
        <sz val="11"/>
        <color theme="1"/>
        <rFont val="Times New Roman"/>
        <family val="1"/>
        <charset val="204"/>
      </rPr>
      <t>ti</t>
    </r>
  </si>
  <si>
    <t>руб./км</t>
  </si>
  <si>
    <t xml:space="preserve"> - </t>
  </si>
  <si>
    <t xml:space="preserve"> 1.1</t>
  </si>
  <si>
    <t>Количество месяцев в году</t>
  </si>
  <si>
    <t>шт.</t>
  </si>
  <si>
    <t xml:space="preserve"> -</t>
  </si>
  <si>
    <t>Lti</t>
  </si>
  <si>
    <t>Планируемый пробег транспортного средства</t>
  </si>
  <si>
    <t>км</t>
  </si>
  <si>
    <t xml:space="preserve"> 1.3</t>
  </si>
  <si>
    <t>руб.</t>
  </si>
  <si>
    <t xml:space="preserve"> 1.3.1</t>
  </si>
  <si>
    <t>Среднемесячная номинальная начисленная заработная плата работников крупных и средних предприятий</t>
  </si>
  <si>
    <t>СЗП</t>
  </si>
  <si>
    <t xml:space="preserve"> 1.3.2</t>
  </si>
  <si>
    <t xml:space="preserve">Коэффициент, учитывающий дифференциацию заработной платы водителей в зависимости от класса транспортного средства и вида маршрутов </t>
  </si>
  <si>
    <t>Кзпi</t>
  </si>
  <si>
    <t xml:space="preserve"> 1.3.3</t>
  </si>
  <si>
    <t xml:space="preserve">Коэффициент, учитывающий особенности рынка труда в городах с численностью населения свыше миллиона человек </t>
  </si>
  <si>
    <t>Км</t>
  </si>
  <si>
    <t>применяется для городов только свыше миллиона человек</t>
  </si>
  <si>
    <t xml:space="preserve"> 1.4</t>
  </si>
  <si>
    <t>Планируемое количество часов работы транспортного средства в год</t>
  </si>
  <si>
    <t>АЧti</t>
  </si>
  <si>
    <t xml:space="preserve"> 1.5</t>
  </si>
  <si>
    <t>Кпз</t>
  </si>
  <si>
    <t xml:space="preserve"> 1.6</t>
  </si>
  <si>
    <t>Индекс потребительских цен</t>
  </si>
  <si>
    <r>
      <t>Iпц</t>
    </r>
    <r>
      <rPr>
        <b/>
        <vertAlign val="subscript"/>
        <sz val="11"/>
        <color theme="1"/>
        <rFont val="Times New Roman"/>
        <family val="1"/>
        <charset val="204"/>
      </rPr>
      <t>t</t>
    </r>
  </si>
  <si>
    <t xml:space="preserve">индекс потребительских цен из прогноза Минэкономразвития РФ </t>
  </si>
  <si>
    <t xml:space="preserve"> 1.7 </t>
  </si>
  <si>
    <t xml:space="preserve"> 1.8 </t>
  </si>
  <si>
    <t>Годовой фонд рабочего времени ремонтного рабочего</t>
  </si>
  <si>
    <t>ФРВрр</t>
  </si>
  <si>
    <t>II</t>
  </si>
  <si>
    <t>Расходы на оплату труда кондукторов на 1 км пробега</t>
  </si>
  <si>
    <r>
      <t>Poтк</t>
    </r>
    <r>
      <rPr>
        <b/>
        <vertAlign val="subscript"/>
        <sz val="11"/>
        <color theme="1"/>
        <rFont val="Times New Roman"/>
        <family val="1"/>
        <charset val="204"/>
      </rPr>
      <t>ti</t>
    </r>
  </si>
  <si>
    <t>III</t>
  </si>
  <si>
    <t>Отчисления на соц нужды от оплаты труда водителей и кондукторов</t>
  </si>
  <si>
    <t>Сpti</t>
  </si>
  <si>
    <t xml:space="preserve"> 3.1</t>
  </si>
  <si>
    <t>Расходы на оплату труда водителей на 1 км пробега</t>
  </si>
  <si>
    <t xml:space="preserve"> 3.2</t>
  </si>
  <si>
    <t xml:space="preserve"> 3.3</t>
  </si>
  <si>
    <t>Сумарный тариф отчислений на социальные нужды</t>
  </si>
  <si>
    <t>Стс</t>
  </si>
  <si>
    <t>%</t>
  </si>
  <si>
    <t>30 % + 0,2 % первый класс профессионального риска, %</t>
  </si>
  <si>
    <t>IV</t>
  </si>
  <si>
    <t>Расходы на топливо на 1 км пробега</t>
  </si>
  <si>
    <r>
      <t>P</t>
    </r>
    <r>
      <rPr>
        <b/>
        <vertAlign val="subscript"/>
        <sz val="11"/>
        <color theme="1"/>
        <rFont val="Times New Roman"/>
        <family val="1"/>
        <charset val="204"/>
      </rPr>
      <t>Tti</t>
    </r>
  </si>
  <si>
    <t xml:space="preserve"> 4.1</t>
  </si>
  <si>
    <t>Цена 1 л топлива</t>
  </si>
  <si>
    <t>Цтi</t>
  </si>
  <si>
    <t xml:space="preserve"> 4.2</t>
  </si>
  <si>
    <t>л/ 100 км</t>
  </si>
  <si>
    <t xml:space="preserve"> 4.3</t>
  </si>
  <si>
    <t>Поправочный коэффициент</t>
  </si>
  <si>
    <t>D</t>
  </si>
  <si>
    <t>определяется в соответствии с п.40 Инструкции по учету доходов и расходов по обычным видам деятельности на автотранспорте, утвержденной  приказом Минтранса России от 24.06.2003 № 153.                                                                          Транспортная норма в литрах на 100 км (л/100 км) пробега при проведении транспортной работы: автобуса, где учитывается снаряженная масса и нормируемая по назначению автобуса номинальная загрузка пассажиров</t>
  </si>
  <si>
    <t xml:space="preserve"> 4.4</t>
  </si>
  <si>
    <t xml:space="preserve">Норма расхода топлива на работу отопителей салона  </t>
  </si>
  <si>
    <t>л/ч</t>
  </si>
  <si>
    <t xml:space="preserve"> 4.5</t>
  </si>
  <si>
    <t>Планируемая в соответствии с расписанием эксплуатационная скорость</t>
  </si>
  <si>
    <t>Vэ</t>
  </si>
  <si>
    <t>км/ч</t>
  </si>
  <si>
    <t xml:space="preserve"> 4.6</t>
  </si>
  <si>
    <t>Принимаемое в соответствии с условиями контракта количество месяцев работы отопителя салона</t>
  </si>
  <si>
    <t>Nз</t>
  </si>
  <si>
    <t xml:space="preserve"> 4.7</t>
  </si>
  <si>
    <t>Индекс цен производителей нефтепродуктов</t>
  </si>
  <si>
    <r>
      <t>I</t>
    </r>
    <r>
      <rPr>
        <b/>
        <vertAlign val="subscript"/>
        <sz val="11"/>
        <color theme="1"/>
        <rFont val="Times New Roman"/>
        <family val="1"/>
        <charset val="204"/>
      </rPr>
      <t>Tt</t>
    </r>
  </si>
  <si>
    <t>V</t>
  </si>
  <si>
    <t xml:space="preserve">Расходы на смазочные и прочие эксплуатационные материалы </t>
  </si>
  <si>
    <r>
      <t>P</t>
    </r>
    <r>
      <rPr>
        <b/>
        <vertAlign val="subscript"/>
        <sz val="11"/>
        <color theme="1"/>
        <rFont val="Times New Roman"/>
        <family val="1"/>
        <charset val="204"/>
      </rPr>
      <t>CMti</t>
    </r>
  </si>
  <si>
    <t xml:space="preserve"> 5.1</t>
  </si>
  <si>
    <t>определено в пункте 4</t>
  </si>
  <si>
    <t>VI</t>
  </si>
  <si>
    <t>Расходы на износ и ремонт шин</t>
  </si>
  <si>
    <r>
      <t>P</t>
    </r>
    <r>
      <rPr>
        <b/>
        <vertAlign val="subscript"/>
        <sz val="11"/>
        <color theme="1"/>
        <rFont val="Times New Roman"/>
        <family val="1"/>
        <charset val="204"/>
      </rPr>
      <t>шti</t>
    </r>
  </si>
  <si>
    <t xml:space="preserve"> 6.1</t>
  </si>
  <si>
    <t>Базовые удельные расходы на шины</t>
  </si>
  <si>
    <r>
      <t>У</t>
    </r>
    <r>
      <rPr>
        <b/>
        <vertAlign val="subscript"/>
        <sz val="11"/>
        <color theme="1"/>
        <rFont val="Times New Roman"/>
        <family val="1"/>
        <charset val="204"/>
      </rPr>
      <t>шi</t>
    </r>
  </si>
  <si>
    <t xml:space="preserve"> 6.2</t>
  </si>
  <si>
    <t>Индекс цен на машины и оборудование</t>
  </si>
  <si>
    <r>
      <t>I</t>
    </r>
    <r>
      <rPr>
        <b/>
        <vertAlign val="subscript"/>
        <sz val="11"/>
        <color theme="1"/>
        <rFont val="Times New Roman"/>
        <family val="1"/>
        <charset val="204"/>
      </rPr>
      <t>мt</t>
    </r>
  </si>
  <si>
    <t>произведение индекса цен машин и оборудования по данным Росстата на прогнозный индекс цен определяемыйМинэком РФ в прогнозе социально-экономического развития</t>
  </si>
  <si>
    <t>VII</t>
  </si>
  <si>
    <t xml:space="preserve"> 7. </t>
  </si>
  <si>
    <t xml:space="preserve">Расходы на ТО и ремонт </t>
  </si>
  <si>
    <r>
      <t>P</t>
    </r>
    <r>
      <rPr>
        <b/>
        <vertAlign val="subscript"/>
        <sz val="11"/>
        <color theme="1"/>
        <rFont val="Times New Roman"/>
        <family val="1"/>
        <charset val="204"/>
      </rPr>
      <t>TOti</t>
    </r>
  </si>
  <si>
    <t xml:space="preserve"> 7.1</t>
  </si>
  <si>
    <t>Расходы на оплату труда ремонтных рабочих с отчислениями на соц нужды (11)</t>
  </si>
  <si>
    <t>ФОТppi</t>
  </si>
  <si>
    <t xml:space="preserve"> 7.1.1</t>
  </si>
  <si>
    <t>Коэффициент приведения базовой удельной трудоемкости технического обслуживания и ремонта транспортных средств к 1 км пробега</t>
  </si>
  <si>
    <t xml:space="preserve"> 7.1.2</t>
  </si>
  <si>
    <t xml:space="preserve"> 7.1.3</t>
  </si>
  <si>
    <t xml:space="preserve"> 7.1.4</t>
  </si>
  <si>
    <t xml:space="preserve"> 7.2</t>
  </si>
  <si>
    <t>ЗПР</t>
  </si>
  <si>
    <r>
      <t>СЗП*К</t>
    </r>
    <r>
      <rPr>
        <vertAlign val="subscript"/>
        <sz val="11"/>
        <color theme="1"/>
        <rFont val="Times New Roman"/>
        <family val="1"/>
        <charset val="204"/>
      </rPr>
      <t xml:space="preserve">зпi </t>
    </r>
    <r>
      <rPr>
        <sz val="11"/>
        <color theme="1"/>
        <rFont val="Times New Roman"/>
        <family val="1"/>
        <charset val="204"/>
      </rPr>
      <t>для ремонтного рабочего*К</t>
    </r>
    <r>
      <rPr>
        <vertAlign val="subscript"/>
        <sz val="11"/>
        <color theme="1"/>
        <rFont val="Times New Roman"/>
        <family val="1"/>
        <charset val="204"/>
      </rPr>
      <t xml:space="preserve">м </t>
    </r>
    <r>
      <rPr>
        <sz val="11"/>
        <color theme="1"/>
        <rFont val="Times New Roman"/>
        <family val="1"/>
        <charset val="204"/>
      </rPr>
      <t>(12)</t>
    </r>
  </si>
  <si>
    <t xml:space="preserve"> 7.2.1</t>
  </si>
  <si>
    <t>Среднемесячная номинальная начисленная заработная плата работников крупных и средних предприятий некоммерческих организаций всех отраслей экономики за  ближайший истекший отчетный период</t>
  </si>
  <si>
    <t xml:space="preserve"> 7.2.2</t>
  </si>
  <si>
    <t xml:space="preserve"> 7.2.3</t>
  </si>
  <si>
    <t xml:space="preserve"> 7.3</t>
  </si>
  <si>
    <t>Базовая удельная трудоемкость технического обслуживания транспортных средств</t>
  </si>
  <si>
    <t>Ттi</t>
  </si>
  <si>
    <t>из таблицы 2 порядка</t>
  </si>
  <si>
    <t xml:space="preserve"> 7.5 </t>
  </si>
  <si>
    <t>Базовая удельная трудоемкость текущего ремонта ТС</t>
  </si>
  <si>
    <t>Tpi</t>
  </si>
  <si>
    <t xml:space="preserve"> 7.6</t>
  </si>
  <si>
    <t xml:space="preserve"> 7.7</t>
  </si>
  <si>
    <t xml:space="preserve"> 7.8</t>
  </si>
  <si>
    <t xml:space="preserve"> 7.9 </t>
  </si>
  <si>
    <t>Расходы на запасные части и материалы, используемые при ТО и ремонте транспортных средств (13)</t>
  </si>
  <si>
    <r>
      <t>P</t>
    </r>
    <r>
      <rPr>
        <b/>
        <vertAlign val="subscript"/>
        <sz val="11"/>
        <color theme="1"/>
        <rFont val="Times New Roman"/>
        <family val="1"/>
        <charset val="204"/>
      </rPr>
      <t>ЗЧti</t>
    </r>
  </si>
  <si>
    <t xml:space="preserve"> 7.9.1</t>
  </si>
  <si>
    <t xml:space="preserve">Базовые удельные расходы на запчасти </t>
  </si>
  <si>
    <t>Узчi км</t>
  </si>
  <si>
    <t xml:space="preserve"> 7.9.2</t>
  </si>
  <si>
    <t>Кзч</t>
  </si>
  <si>
    <t>произведение индекса цен машин и оборудования по данным Росстата на прогнозный индекс цен определяемый Минэком РФ в прогнозе социально-экономического развития</t>
  </si>
  <si>
    <t>VIII</t>
  </si>
  <si>
    <t>Прочие расходы по обычным видам деятельности в сумме с косвенными расходами для транспортных средств (14)</t>
  </si>
  <si>
    <t xml:space="preserve">Прочие расходы по обычным видам деятельности в сумме с косвенными расходами для транспортных средств </t>
  </si>
  <si>
    <t>ПКРti</t>
  </si>
  <si>
    <t xml:space="preserve"> 8.1</t>
  </si>
  <si>
    <t>Отношение суммы прочих расходов по обычным видам деятельности и косвенных расхдов к переменным расходам</t>
  </si>
  <si>
    <t>Кпр</t>
  </si>
  <si>
    <t>доля</t>
  </si>
  <si>
    <t>из таблицы 3 порядка</t>
  </si>
  <si>
    <t xml:space="preserve"> 8.2</t>
  </si>
  <si>
    <t xml:space="preserve"> 8.3</t>
  </si>
  <si>
    <t xml:space="preserve"> 8.4 </t>
  </si>
  <si>
    <t xml:space="preserve"> 8.5</t>
  </si>
  <si>
    <t>IX</t>
  </si>
  <si>
    <t>Максимальная себестоимость 1 км пробега транспортных средств за год контракта (1)</t>
  </si>
  <si>
    <t>max себестоимость 1 км пробега</t>
  </si>
  <si>
    <r>
      <t>S</t>
    </r>
    <r>
      <rPr>
        <b/>
        <vertAlign val="subscript"/>
        <sz val="11"/>
        <color theme="1"/>
        <rFont val="Times New Roman"/>
        <family val="1"/>
        <charset val="204"/>
      </rPr>
      <t>ti</t>
    </r>
  </si>
  <si>
    <r>
      <t>Poтвti+Poткt+Сpti+Ptti+P</t>
    </r>
    <r>
      <rPr>
        <vertAlign val="subscript"/>
        <sz val="11"/>
        <color theme="1"/>
        <rFont val="Times New Roman"/>
        <family val="1"/>
        <charset val="204"/>
      </rPr>
      <t>CMti</t>
    </r>
    <r>
      <rPr>
        <sz val="11"/>
        <color theme="1"/>
        <rFont val="Times New Roman"/>
        <family val="1"/>
        <charset val="204"/>
      </rPr>
      <t>+P</t>
    </r>
    <r>
      <rPr>
        <vertAlign val="subscript"/>
        <sz val="11"/>
        <color theme="1"/>
        <rFont val="Times New Roman"/>
        <family val="1"/>
        <charset val="204"/>
      </rPr>
      <t>шti</t>
    </r>
    <r>
      <rPr>
        <sz val="11"/>
        <color theme="1"/>
        <rFont val="Times New Roman"/>
        <family val="1"/>
        <charset val="204"/>
      </rPr>
      <t>+P</t>
    </r>
    <r>
      <rPr>
        <vertAlign val="subscript"/>
        <sz val="11"/>
        <color theme="1"/>
        <rFont val="Times New Roman"/>
        <family val="1"/>
        <charset val="204"/>
      </rPr>
      <t>TOti</t>
    </r>
    <r>
      <rPr>
        <sz val="11"/>
        <color theme="1"/>
        <rFont val="Times New Roman"/>
        <family val="1"/>
        <charset val="204"/>
      </rPr>
      <t>+ПКРti (1)</t>
    </r>
  </si>
  <si>
    <t>Определение начальной (максимальной) цены контракта</t>
  </si>
  <si>
    <t>Максимальная стоимость работы транспортного средства (7.1)</t>
  </si>
  <si>
    <t>Сi</t>
  </si>
  <si>
    <t xml:space="preserve"> 10.1</t>
  </si>
  <si>
    <t>max себестоимость 1 км пробега (1)</t>
  </si>
  <si>
    <t xml:space="preserve"> 10.2</t>
  </si>
  <si>
    <t>Уровень рентабельности, обеспечивающий экономически устойчивую деятельности</t>
  </si>
  <si>
    <t xml:space="preserve"> 10.3</t>
  </si>
  <si>
    <t xml:space="preserve"> 10.4</t>
  </si>
  <si>
    <t xml:space="preserve">Коэффициент использования пробега </t>
  </si>
  <si>
    <t>В</t>
  </si>
  <si>
    <t xml:space="preserve"> 10.5</t>
  </si>
  <si>
    <t xml:space="preserve"> 10.6</t>
  </si>
  <si>
    <t>Мi</t>
  </si>
  <si>
    <t>ед.</t>
  </si>
  <si>
    <t>количество единиц транспортных средств, используемых на маршруте</t>
  </si>
  <si>
    <t xml:space="preserve"> 10.7</t>
  </si>
  <si>
    <t>Средняя рыночная стоимость транспортных средств (8.1)</t>
  </si>
  <si>
    <t>Цi</t>
  </si>
  <si>
    <t>определяется как среднеарифметическое значение цен, указанных в полученных по запросу заказчика ответах поставщиков данных транспортных средств</t>
  </si>
  <si>
    <t xml:space="preserve"> 10.8</t>
  </si>
  <si>
    <t>Срок полезного использования транспортных средств</t>
  </si>
  <si>
    <t>Тni</t>
  </si>
  <si>
    <t>лет</t>
  </si>
  <si>
    <t xml:space="preserve"> 10.9</t>
  </si>
  <si>
    <t>Индекс цен на машины и оборудования</t>
  </si>
  <si>
    <t>Imot</t>
  </si>
  <si>
    <t>-</t>
  </si>
  <si>
    <t>принимается равным прогнозному индексу цен производителей машин и оборудования, определяемому определяемый Минэком РФ в прогнозе социально-экономического развития</t>
  </si>
  <si>
    <t>Общее количество месяцев исполнения контрактов, в том числе неполных</t>
  </si>
  <si>
    <t>r</t>
  </si>
  <si>
    <t>ПВjt</t>
  </si>
  <si>
    <t>место-км</t>
  </si>
  <si>
    <t>Ljti * Qi</t>
  </si>
  <si>
    <t>ПВjo</t>
  </si>
  <si>
    <t>Ljoi * Qi</t>
  </si>
  <si>
    <t>П</t>
  </si>
  <si>
    <t>Индекс изменения тарифов</t>
  </si>
  <si>
    <t>It</t>
  </si>
  <si>
    <t>НМЦК</t>
  </si>
  <si>
    <t>N п/п</t>
  </si>
  <si>
    <t>Категория работника</t>
  </si>
  <si>
    <t>Прочие маршруты</t>
  </si>
  <si>
    <t>с 01.01.2022</t>
  </si>
  <si>
    <t>Водитель автобуса особо малого класса</t>
  </si>
  <si>
    <t>Водитель автобуса малого класса</t>
  </si>
  <si>
    <t>Водитель автобуса среднего класса</t>
  </si>
  <si>
    <t>Водитель автобуса большого класса</t>
  </si>
  <si>
    <t>Водитель автобуса особо большого класса</t>
  </si>
  <si>
    <t>Кондуктор</t>
  </si>
  <si>
    <t>Ремонтный рабочий</t>
  </si>
  <si>
    <t>ЗПВi</t>
  </si>
  <si>
    <t>ФРВв</t>
  </si>
  <si>
    <r>
      <t>Poтк</t>
    </r>
    <r>
      <rPr>
        <b/>
        <vertAlign val="subscript"/>
        <sz val="11"/>
        <color theme="1"/>
        <rFont val="Times New Roman"/>
        <family val="1"/>
        <charset val="204"/>
      </rPr>
      <t>t</t>
    </r>
  </si>
  <si>
    <t>Субъект Российской Федерации</t>
  </si>
  <si>
    <t>КЗп</t>
  </si>
  <si>
    <t>КЗ</t>
  </si>
  <si>
    <t>КЗЧ</t>
  </si>
  <si>
    <t>Республика Дагестан, Республика Северная Осетия - Алания, Чеченская Республика, Республика Ингушетия, Республика Крым, Кабардино-Балкарская Республика; Краснодарский и Ставропольский края; Калининградская и Ростовская области; город федерального значения Севастополь</t>
  </si>
  <si>
    <t>Республика Башкортостан, Удмуртская Республика; Пермский край; Курганская, Свердловская, Челябинская области</t>
  </si>
  <si>
    <t>Республика Саха (Якутия), Магаданская область, Чукотский автономный округ</t>
  </si>
  <si>
    <t>Прочие</t>
  </si>
  <si>
    <r>
      <t>К</t>
    </r>
    <r>
      <rPr>
        <b/>
        <vertAlign val="subscript"/>
        <sz val="11"/>
        <color theme="1"/>
        <rFont val="Times New Roman"/>
        <family val="1"/>
        <charset val="204"/>
      </rPr>
      <t>зп</t>
    </r>
  </si>
  <si>
    <t xml:space="preserve">Индекс цен производителей нефтепродуктов из прогноза Минэкономразвития РФ </t>
  </si>
  <si>
    <t>мес.</t>
  </si>
  <si>
    <t>мес</t>
  </si>
  <si>
    <t>Предусмотренный контрактом суммарный планируемый пробег транспортных средств всех классов в t-ом году срока действия контракта на данном маршруте, тыс. км</t>
  </si>
  <si>
    <t>До 50</t>
  </si>
  <si>
    <t>Свыше 50 до 150</t>
  </si>
  <si>
    <t>Свыше 150 до 850</t>
  </si>
  <si>
    <t>Свыше 850 до 1650</t>
  </si>
  <si>
    <t>Свыше 1650 до 2450</t>
  </si>
  <si>
    <t>Свыше 2450 до 3250</t>
  </si>
  <si>
    <t>Свыше 3250 до 4050</t>
  </si>
  <si>
    <t>Свыше 4050 до 4850</t>
  </si>
  <si>
    <t>Свыше 4850 до 5650</t>
  </si>
  <si>
    <t>Сoi</t>
  </si>
  <si>
    <t>Ссуб</t>
  </si>
  <si>
    <t>расходы подрядчика, связанные с приобретением и установкой в транспортных средствах i-го класса оборудования и программного обеспечения для использования информационной системы навигации, оборудования для организации автоматизированной системы контроля за оплатой проезда, а также плановые расходы на их эксплуатацию и (или) оплату услуг операторов информационной системы навигации и автоматизированной системы контроля за оплатой проезда в случае, если контрактом предусмотрено, что приобретение, установка и эксплуатация такого оборудования и (или) оплата услуг таких операторов осуществляется за счет подрядчика, руб.;</t>
  </si>
  <si>
    <t xml:space="preserve">размер субсидий, которые будут предоставлены подрядчику в соответствии с нормативным правовым актом субъекта Российской Федерации, муниципальным нормативным правовым актом, принятыми в соответствии с Бюджетным кодексом Российской Федерации &lt;2&gt;, в целях компенсации недополученных доходов от предоставления льгот на проезд пассажиров или части затрат на выполнение предусмотренных контрактом работ, руб. </t>
  </si>
  <si>
    <r>
      <t>(Сi + Сoi)K</t>
    </r>
    <r>
      <rPr>
        <i/>
        <sz val="11"/>
        <color theme="1"/>
        <rFont val="Times New Roman"/>
        <family val="1"/>
        <charset val="204"/>
      </rPr>
      <t>a</t>
    </r>
    <r>
      <rPr>
        <sz val="11"/>
        <color theme="1"/>
        <rFont val="Times New Roman"/>
        <family val="1"/>
        <charset val="204"/>
      </rPr>
      <t xml:space="preserve"> -С суб - П</t>
    </r>
  </si>
  <si>
    <r>
      <t>K</t>
    </r>
    <r>
      <rPr>
        <i/>
        <sz val="11"/>
        <color theme="1"/>
        <rFont val="Times New Roman"/>
        <family val="1"/>
        <charset val="204"/>
      </rPr>
      <t>a</t>
    </r>
  </si>
  <si>
    <t xml:space="preserve">коэффициент, учитывающий расходы на оплату услуг автовокзалов и автостанций (в случае, если контрактом предусматривается использование одного или нескольких остановочных пунктов, расположенных на территории автовокзала или автостанции, принимается равным 1,1, во всех прочих случаях принимается равным 1,0)
</t>
  </si>
  <si>
    <r>
      <t>(12*ЗПВi/ФРВв)*Ачti*k</t>
    </r>
    <r>
      <rPr>
        <vertAlign val="subscript"/>
        <sz val="11"/>
        <color theme="1"/>
        <rFont val="Times New Roman"/>
        <family val="1"/>
        <charset val="204"/>
      </rPr>
      <t>пз</t>
    </r>
    <r>
      <rPr>
        <sz val="11"/>
        <color theme="1"/>
        <rFont val="Times New Roman"/>
        <family val="1"/>
        <charset val="204"/>
      </rPr>
      <t xml:space="preserve">*Iптц/Lti </t>
    </r>
  </si>
  <si>
    <t xml:space="preserve">Ljoi
</t>
  </si>
  <si>
    <t>Фактический пробег транспортных средств в течение периода не менее 12 месяцев, предшествующего дате начала проведения расчетов НМЦК</t>
  </si>
  <si>
    <t>Годовой фонд рабочего времени водителя автобуса</t>
  </si>
  <si>
    <t xml:space="preserve">если контрактом предусматривается возложение на водителя обязанности кондуктора в отсутствии автоматизированной системы оплаты проезда, принимается равным 0,3; если контрактом предусматривается возложение на водителя обязанности кондуктора при наличии автоматизированной системы оплаты проезда, принимается равным 0,05
</t>
  </si>
  <si>
    <t xml:space="preserve">kбил
</t>
  </si>
  <si>
    <t>СРti = (РОТВti + РОТКti) x (СТС / 100)</t>
  </si>
  <si>
    <t>РТti = ЦТi x (Нsi / 100 x (1 + 0,01 x D) + (НОТi/Vэ x Nз / 12)) x Iтt</t>
  </si>
  <si>
    <t>Нsi</t>
  </si>
  <si>
    <t>НОТi</t>
  </si>
  <si>
    <r>
      <t>0,075*P</t>
    </r>
    <r>
      <rPr>
        <vertAlign val="subscript"/>
        <sz val="11"/>
        <color theme="1"/>
        <rFont val="Times New Roman"/>
        <family val="1"/>
        <charset val="204"/>
      </rPr>
      <t>tti</t>
    </r>
  </si>
  <si>
    <r>
      <t>У</t>
    </r>
    <r>
      <rPr>
        <vertAlign val="subscript"/>
        <sz val="11"/>
        <color theme="1"/>
        <rFont val="Times New Roman"/>
        <family val="1"/>
        <charset val="204"/>
      </rPr>
      <t>шi*</t>
    </r>
    <r>
      <rPr>
        <sz val="11"/>
        <color theme="1"/>
        <rFont val="Times New Roman"/>
        <family val="1"/>
        <charset val="204"/>
      </rPr>
      <t>I</t>
    </r>
    <r>
      <rPr>
        <vertAlign val="subscript"/>
        <sz val="11"/>
        <color theme="1"/>
        <rFont val="Times New Roman"/>
        <family val="1"/>
        <charset val="204"/>
      </rPr>
      <t>мt</t>
    </r>
  </si>
  <si>
    <t>ФОТррi + РЗЧti</t>
  </si>
  <si>
    <t>ФОТррi = (12 x ЗПР / ФРВрр) x Iпцt x (ТТi / КТо + Трi x Ккр) x 0,001 x (1 + СТС / 100)</t>
  </si>
  <si>
    <t>Кто</t>
  </si>
  <si>
    <t xml:space="preserve"> Коэффициент корректировки базовой удельной трудоемкости технического обслуживания автобусов в зависимости от природно-климатических условий</t>
  </si>
  <si>
    <t xml:space="preserve">принимается в соответствии с таблицей 3
</t>
  </si>
  <si>
    <t xml:space="preserve">Ккр
</t>
  </si>
  <si>
    <t>Коэффициент корректировки базовой удельной трудоемкости текущего ремонта автобусов в зависимости от природно-климатических условий</t>
  </si>
  <si>
    <t>Средняя месячная оплата труда ремонтного рабочего</t>
  </si>
  <si>
    <t>Коэффициент корректировки базовых удельных расходов на запасные части и материалы в зависимотси от природно-климатических условия</t>
  </si>
  <si>
    <r>
      <t>У</t>
    </r>
    <r>
      <rPr>
        <vertAlign val="subscript"/>
        <sz val="11"/>
        <color theme="1"/>
        <rFont val="Times New Roman"/>
        <family val="1"/>
        <charset val="204"/>
      </rPr>
      <t>зчi км</t>
    </r>
    <r>
      <rPr>
        <sz val="11"/>
        <color theme="1"/>
        <rFont val="Times New Roman"/>
        <family val="1"/>
        <charset val="204"/>
      </rPr>
      <t>*К</t>
    </r>
    <r>
      <rPr>
        <vertAlign val="subscript"/>
        <sz val="11"/>
        <color theme="1"/>
        <rFont val="Times New Roman"/>
        <family val="1"/>
        <charset val="204"/>
      </rPr>
      <t>зч</t>
    </r>
    <r>
      <rPr>
        <sz val="11"/>
        <color theme="1"/>
        <rFont val="Times New Roman"/>
        <family val="1"/>
        <charset val="204"/>
      </rPr>
      <t>*I</t>
    </r>
    <r>
      <rPr>
        <vertAlign val="subscript"/>
        <sz val="11"/>
        <color theme="1"/>
        <rFont val="Times New Roman"/>
        <family val="1"/>
        <charset val="204"/>
      </rPr>
      <t>мt</t>
    </r>
    <r>
      <rPr>
        <sz val="11"/>
        <color theme="1"/>
        <rFont val="Times New Roman"/>
        <family val="1"/>
        <charset val="204"/>
      </rPr>
      <t xml:space="preserve"> </t>
    </r>
  </si>
  <si>
    <t>ПКРti = Кпр x (РТti + РСМti + РШti + РТОti)</t>
  </si>
  <si>
    <t>(Sti*R*Lti/B)+Mi*Цi*Крсс
*Imot*r/(12*Tni)</t>
  </si>
  <si>
    <t>R</t>
  </si>
  <si>
    <t>Минимальное количество транспортных средств</t>
  </si>
  <si>
    <t>принимается в соответствии с таблицей 1</t>
  </si>
  <si>
    <t>Коэффициент повышения расходов на обновление подвижного состава</t>
  </si>
  <si>
    <t>Крсс</t>
  </si>
  <si>
    <t>для других видов транспорта - 1,0</t>
  </si>
  <si>
    <t>10.10</t>
  </si>
  <si>
    <t>Планируемый пробег, приведенный по вместимости</t>
  </si>
  <si>
    <t>Фактический пробег, приведенный по вместимости</t>
  </si>
  <si>
    <t xml:space="preserve">принимается в соответствии с таблицей 1
</t>
  </si>
  <si>
    <t>Коэффициент, характеризующий продолжительность подготовительно-заключительного времени, времени прохождения предрейсовых инструктажей и медицинских осмотров водителя</t>
  </si>
  <si>
    <t>Коэффициент, учитывающий затраты на оплату труда водителя, совмещающего обязанности кондуктора</t>
  </si>
  <si>
    <t>Средняя месячная оплата труда водителя</t>
  </si>
  <si>
    <t>Расходы на оплату труда водителей транспортных средств</t>
  </si>
  <si>
    <t>Расходы на оплату труда кодуктора транспортного средства</t>
  </si>
  <si>
    <t>Отчисления на социальные нужды водителей и кондукторов транспортных средств</t>
  </si>
  <si>
    <t>Расходы на топливо для транспортных средств</t>
  </si>
  <si>
    <t>Транспортная норма расхода топлива на пробег автобуса в расчете на 100 км</t>
  </si>
  <si>
    <t>Суммарный тариф отчислений на социальные нужды</t>
  </si>
  <si>
    <t>Расходы на смазочные материалы</t>
  </si>
  <si>
    <t>Расходы на износ и ремонт шин транспортных средств</t>
  </si>
  <si>
    <t>Расходы на техническое обслуживание и ремонт транспортных средств</t>
  </si>
  <si>
    <t>Коэффициент, учитывающий дифференциацию в оплате труда ремонтных рабочих в зависимости от выида маршрута</t>
  </si>
  <si>
    <t>на 1 год</t>
  </si>
  <si>
    <t xml:space="preserve">СЗП*Кзпi для водителя*Км </t>
  </si>
  <si>
    <t>согласно порядку для автобусов особо малого класса принимаются равными не менее 0,15, для автобусов малого класса - не менее 0,28, для автобусов среднего класса - не менее 0,66, для автобусов большого класса - не менее 0,84, для автобусов особо большого класса - не менее 0,94</t>
  </si>
  <si>
    <t>согласно порядку для автобусов особо малого класса принимаются равной не менее 5,9, для автобусов малого класса - не менее 8,0, для автобусов среднего класса - не менее 9,3, для автобусов большого класса - не менее 13,3, для автобусов особо большого класса - не менее 19,1</t>
  </si>
  <si>
    <t>согласно порядку для автобусов особо малого класса принимаются равной не менее 5,4, для автобусов малого класса - не менее 6,4, для автобусов среднего класса - не менее 7,8, для автобусов большого класса - не менее 10,2, для автобусов особо большого класса - не менее 13,2</t>
  </si>
  <si>
    <t>согласно порядку для автобусов особо малого класса принимаются равными не менее 2,2, для автобусов малого класса - не менее 3,2, для автобусов среднего класса - не менее 3,6, для автобусов большого класса - не менее 6,4, для автобусов особо большого класса - не менее 8,6</t>
  </si>
  <si>
    <t>на период действия контракта в 2022 году</t>
  </si>
  <si>
    <t>Принимают значения, равные 0,9 при перевозках в городском сообщении, 0,91 - в пригородном сообщении и 0,95 - в междугородном сообщении</t>
  </si>
  <si>
    <r>
      <t>принимается равным не менее: для автобусов особо малого класса - 14,5 (бензин АИ-92),</t>
    </r>
    <r>
      <rPr>
        <u/>
        <sz val="11"/>
        <color theme="1"/>
        <rFont val="Times New Roman"/>
        <family val="1"/>
        <charset val="204"/>
      </rPr>
      <t xml:space="preserve"> </t>
    </r>
    <r>
      <rPr>
        <sz val="11"/>
        <color theme="1"/>
        <rFont val="Times New Roman"/>
        <family val="1"/>
        <charset val="204"/>
      </rPr>
      <t>для автобусов малого класса - 23,2 (дизельное топливо, более 22 мест), для автобусов среднего класса - 29,6 (дизельное топливо), для автобусов большого класса - 39,8 (дизельное топливо), для автобусов особо большого класса - 47,5 (дизельное топливо)</t>
    </r>
  </si>
  <si>
    <t>Если изменялся тариф указывается коэффициент фактического изменения тарифа</t>
  </si>
  <si>
    <t>Планируемая плата за проезд пассажиров</t>
  </si>
  <si>
    <t>∑(Пjо*It*ПВjt/Пвjo)
∑(Пjо*It)
∑(Сi*Кв)</t>
  </si>
  <si>
    <t>для автобусов особо малого и малого класса -0; для автобусов среднего класса -2,5;для автобусов большого и особо большого класов -3,5;</t>
  </si>
  <si>
    <t xml:space="preserve"> 10.11</t>
  </si>
  <si>
    <t xml:space="preserve"> 10.12</t>
  </si>
  <si>
    <t xml:space="preserve"> 10.13</t>
  </si>
  <si>
    <t xml:space="preserve"> 10.14</t>
  </si>
  <si>
    <t xml:space="preserve"> 10.15</t>
  </si>
  <si>
    <t xml:space="preserve"> 10.16</t>
  </si>
  <si>
    <t xml:space="preserve"> 10.17</t>
  </si>
  <si>
    <t xml:space="preserve"> 10.18</t>
  </si>
  <si>
    <t xml:space="preserve"> 10.19</t>
  </si>
  <si>
    <t>РОТКti = РОТВti x kбил</t>
  </si>
  <si>
    <t>2.1</t>
  </si>
  <si>
    <t xml:space="preserve">принимаются равными нулю в случае, если контрактом не предусматривается выполнение работниками обязанности кондуктора
</t>
  </si>
  <si>
    <r>
      <t xml:space="preserve">Республика Алтай, Республика Бурятия, Республика Карелия, Республика Коми, Республика Тыва, Республика Хакасия; Алтайский, Забайкальский, Камчатский, Красноярский, Приморский и Хабаровский края; Амурская, </t>
    </r>
    <r>
      <rPr>
        <b/>
        <sz val="11"/>
        <color theme="1"/>
        <rFont val="Times New Roman"/>
        <family val="1"/>
        <charset val="204"/>
      </rPr>
      <t>Архангельская</t>
    </r>
    <r>
      <rPr>
        <sz val="11"/>
        <color theme="1"/>
        <rFont val="Times New Roman"/>
        <family val="1"/>
        <charset val="204"/>
      </rPr>
      <t>, Иркутская, Кемеровская, Мурманская, Новосибирская, Омская, Сахалинская, Томская, Тюменская области; Ненецкий автономный округ, Ханты-Мансийский автономный округ - Югра, Ямало-Ненецкий автономный округ</t>
    </r>
  </si>
  <si>
    <r>
      <t xml:space="preserve">Принимают значения, равные 0,9 при перевозках в городском сообщении, </t>
    </r>
    <r>
      <rPr>
        <b/>
        <sz val="11"/>
        <rFont val="Times New Roman"/>
        <family val="1"/>
        <charset val="204"/>
      </rPr>
      <t>0,91 - в пригородном сообщении</t>
    </r>
    <r>
      <rPr>
        <sz val="11"/>
        <rFont val="Times New Roman"/>
        <family val="1"/>
        <charset val="204"/>
      </rPr>
      <t xml:space="preserve"> и 0,95 - в междугородном сообщении</t>
    </r>
  </si>
  <si>
    <t>Маршрут № 500 Козьмино-Яренск</t>
  </si>
  <si>
    <r>
      <t>принимается равным не менее: для автобусов особо малого класса - 14,5 (бензин АИ-92),</t>
    </r>
    <r>
      <rPr>
        <u/>
        <sz val="11"/>
        <color theme="1"/>
        <rFont val="Times New Roman"/>
        <family val="1"/>
        <charset val="204"/>
      </rPr>
      <t xml:space="preserve"> </t>
    </r>
    <r>
      <rPr>
        <sz val="11"/>
        <color theme="1"/>
        <rFont val="Times New Roman"/>
        <family val="1"/>
        <charset val="204"/>
      </rPr>
      <t xml:space="preserve">для автобусов малого класса - 17,0 (бензин АИ-92); - 14,2  (дизельное топливо, не более 22 мест), </t>
    </r>
    <r>
      <rPr>
        <b/>
        <sz val="11"/>
        <color theme="1"/>
        <rFont val="Times New Roman"/>
        <family val="1"/>
        <charset val="204"/>
      </rPr>
      <t>для автобусов среднего класса - 26,2 (дизельное топливо, до 54)</t>
    </r>
    <r>
      <rPr>
        <sz val="11"/>
        <color theme="1"/>
        <rFont val="Times New Roman"/>
        <family val="1"/>
        <charset val="204"/>
      </rPr>
      <t xml:space="preserve"> , для автобусов большого класса - 39,8 (дизельное топливо), для автобусов особо большого класса - 47,5 (дизельное топливо)</t>
    </r>
  </si>
  <si>
    <r>
      <t xml:space="preserve">согласно порядку для автобусов особо малого класса принимаются равными не менее 0,15, для автобусов малого класса - не менее 0,28, </t>
    </r>
    <r>
      <rPr>
        <b/>
        <sz val="11"/>
        <color theme="1"/>
        <rFont val="Times New Roman"/>
        <family val="1"/>
        <charset val="204"/>
      </rPr>
      <t>для автобусов среднего класса - не менее 0,66</t>
    </r>
    <r>
      <rPr>
        <sz val="11"/>
        <color theme="1"/>
        <rFont val="Times New Roman"/>
        <family val="1"/>
        <charset val="204"/>
      </rPr>
      <t>, для автобусов большого класса - не менее 0,84, для автобусов особо большого класса - не менее 0,94</t>
    </r>
  </si>
  <si>
    <r>
      <t xml:space="preserve">согласно порядку для автобусов особо малого класса принимаются равной не менее 5,9, для автобусов малого класса - не менее 8,0, </t>
    </r>
    <r>
      <rPr>
        <b/>
        <sz val="11"/>
        <color theme="1"/>
        <rFont val="Times New Roman"/>
        <family val="1"/>
        <charset val="204"/>
      </rPr>
      <t>для автобусов среднего класса - не менее 9,3</t>
    </r>
    <r>
      <rPr>
        <sz val="11"/>
        <color theme="1"/>
        <rFont val="Times New Roman"/>
        <family val="1"/>
        <charset val="204"/>
      </rPr>
      <t>, для автобусов большого класса - не менее 13,3, для автобусов особо большого класса - не менее 19,1</t>
    </r>
  </si>
  <si>
    <r>
      <t xml:space="preserve">согласно порядку для автобусов особо малого класса принимаются равной не менее 5,4, для автобусов малого класса - не менее 6,4, </t>
    </r>
    <r>
      <rPr>
        <b/>
        <sz val="11"/>
        <color theme="1"/>
        <rFont val="Times New Roman"/>
        <family val="1"/>
        <charset val="204"/>
      </rPr>
      <t>для автобусов среднего</t>
    </r>
    <r>
      <rPr>
        <sz val="11"/>
        <color theme="1"/>
        <rFont val="Times New Roman"/>
        <family val="1"/>
        <charset val="204"/>
      </rPr>
      <t xml:space="preserve"> </t>
    </r>
    <r>
      <rPr>
        <b/>
        <sz val="11"/>
        <color theme="1"/>
        <rFont val="Times New Roman"/>
        <family val="1"/>
        <charset val="204"/>
      </rPr>
      <t>класса - не менее 7,8</t>
    </r>
    <r>
      <rPr>
        <sz val="11"/>
        <color theme="1"/>
        <rFont val="Times New Roman"/>
        <family val="1"/>
        <charset val="204"/>
      </rPr>
      <t>, для автобусов большого класса - не менее 10,2, для автобусов особо большого класса - не менее 13,2</t>
    </r>
  </si>
  <si>
    <r>
      <t xml:space="preserve">согласно порядку для автобусов особо малого класса принимаются равными не менее 2,2, для автобусов малого класса - не менее 3,2, </t>
    </r>
    <r>
      <rPr>
        <b/>
        <sz val="11"/>
        <color theme="1"/>
        <rFont val="Times New Roman"/>
        <family val="1"/>
        <charset val="204"/>
      </rPr>
      <t>для автобусов среднего класса - не менее 3,6</t>
    </r>
    <r>
      <rPr>
        <sz val="11"/>
        <color theme="1"/>
        <rFont val="Times New Roman"/>
        <family val="1"/>
        <charset val="204"/>
      </rPr>
      <t>, для автобусов большого класса - не менее 6,4, для автобусов особо большого класса - не менее 8,6</t>
    </r>
  </si>
  <si>
    <r>
      <t xml:space="preserve">для автобусов особо малого и малого класса -0; </t>
    </r>
    <r>
      <rPr>
        <b/>
        <sz val="11"/>
        <color theme="1"/>
        <rFont val="Times New Roman"/>
        <family val="1"/>
        <charset val="204"/>
      </rPr>
      <t>для автобусов среднего класса -2,5</t>
    </r>
    <r>
      <rPr>
        <sz val="11"/>
        <color theme="1"/>
        <rFont val="Times New Roman"/>
        <family val="1"/>
        <charset val="204"/>
      </rPr>
      <t>;для автобусов большого и особо большого класов -3,5;</t>
    </r>
  </si>
  <si>
    <t>№</t>
  </si>
  <si>
    <t>наименование маршрута</t>
  </si>
  <si>
    <t>Яренск-Запань-Яреньга</t>
  </si>
  <si>
    <t>Яренск-Усть-Очея</t>
  </si>
  <si>
    <t>Козьмино-Яренск</t>
  </si>
  <si>
    <t>Литвино-Яренск</t>
  </si>
  <si>
    <t>Урдома-Яренск</t>
  </si>
  <si>
    <t>Яренск-Устье</t>
  </si>
  <si>
    <t>всего:</t>
  </si>
  <si>
    <t>РЕЕСТР</t>
  </si>
  <si>
    <t>план пробег</t>
  </si>
  <si>
    <t>д/т</t>
  </si>
  <si>
    <t>средний</t>
  </si>
  <si>
    <t>количество мест</t>
  </si>
  <si>
    <t>бензин</t>
  </si>
  <si>
    <t>малый</t>
  </si>
  <si>
    <t>НМЦК (из расчета)</t>
  </si>
  <si>
    <t>вид топлива (данные перевозчика)</t>
  </si>
  <si>
    <t>норма расхода топлива(из таблицы Порядка)</t>
  </si>
  <si>
    <t>класс ТС</t>
  </si>
  <si>
    <t>марка ТС</t>
  </si>
  <si>
    <t>ГАЗель</t>
  </si>
  <si>
    <t>КАВЗ</t>
  </si>
  <si>
    <t>ПАЗ</t>
  </si>
  <si>
    <t>№             маршрута</t>
  </si>
  <si>
    <t>на период действия контракта в 2023 году</t>
  </si>
  <si>
    <t>с января по май, с сентября по декабрь</t>
  </si>
  <si>
    <t>протяженность маршрута (туда-обратно)</t>
  </si>
  <si>
    <t>согласно Архангельскстата 2022г. https://arhangelskstat.gks.ru/storage/mediabank/zp11.pdf</t>
  </si>
  <si>
    <t>по данным Росстатаhttps://www.consultant.ru/document/cons_doc_LAW_19571/94fb23b03bc73af67a2a87caca31d553287f2d60/</t>
  </si>
  <si>
    <t xml:space="preserve">                            </t>
  </si>
  <si>
    <t>из таблицы 4 порядка</t>
  </si>
  <si>
    <t>цена за 1 л дизельного топлива</t>
  </si>
  <si>
    <t>из таблицы3 порядка</t>
  </si>
  <si>
    <t>индекс производства нефтепродуктов</t>
  </si>
  <si>
    <t>количество рейсов в неделю</t>
  </si>
  <si>
    <t>Индексы промышленного производства(машины и оборудование)</t>
  </si>
  <si>
    <t>количество рейсов в 2023, 1 месяц</t>
  </si>
  <si>
    <t xml:space="preserve">Расчет начальной (максимальной) цены контракта на выполнение работ  по осуществлению регулярных пассажирских перевозок автомобильным транспортом общего пользования по регулярным тарифам на территории муниципального образования "Ленский муниципальный район" по муниципальным маршрутам регулярных перевозок </t>
  </si>
  <si>
    <t>Дата подготовки обоснования НМЦК:  10.03.2023г.</t>
  </si>
  <si>
    <t>Приложение № 2.1 
к распоряжению Администрации 
МО «Ленский муниципальный район» 
от 15 марта 2023 года № 50</t>
  </si>
</sst>
</file>

<file path=xl/styles.xml><?xml version="1.0" encoding="utf-8"?>
<styleSheet xmlns="http://schemas.openxmlformats.org/spreadsheetml/2006/main">
  <numFmts count="4">
    <numFmt numFmtId="43" formatCode="_-* #,##0.00\ _₽_-;\-* #,##0.00\ _₽_-;_-* &quot;-&quot;??\ _₽_-;_-@_-"/>
    <numFmt numFmtId="164" formatCode="0.000"/>
    <numFmt numFmtId="165" formatCode="0.0"/>
    <numFmt numFmtId="166" formatCode="#,##0.0"/>
  </numFmts>
  <fonts count="2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Times New Roman"/>
      <family val="1"/>
      <charset val="204"/>
    </font>
    <font>
      <vertAlign val="subscript"/>
      <sz val="11"/>
      <color theme="1"/>
      <name val="Times New Roman"/>
      <family val="1"/>
      <charset val="204"/>
    </font>
    <font>
      <b/>
      <sz val="11"/>
      <color theme="1"/>
      <name val="Times New Roman"/>
      <family val="1"/>
      <charset val="204"/>
    </font>
    <font>
      <b/>
      <vertAlign val="subscript"/>
      <sz val="11"/>
      <color theme="1"/>
      <name val="Times New Roman"/>
      <family val="1"/>
      <charset val="204"/>
    </font>
    <font>
      <sz val="10"/>
      <color theme="1"/>
      <name val="Times New Roman"/>
      <family val="1"/>
      <charset val="204"/>
    </font>
    <font>
      <sz val="11"/>
      <color rgb="FFFF0000"/>
      <name val="Times New Roman"/>
      <family val="1"/>
      <charset val="204"/>
    </font>
    <font>
      <i/>
      <sz val="11"/>
      <color theme="1"/>
      <name val="Times New Roman"/>
      <family val="1"/>
      <charset val="204"/>
    </font>
    <font>
      <b/>
      <i/>
      <sz val="11"/>
      <color theme="1"/>
      <name val="Times New Roman"/>
      <family val="1"/>
      <charset val="204"/>
    </font>
    <font>
      <b/>
      <sz val="12"/>
      <color theme="1"/>
      <name val="Times New Roman"/>
      <family val="1"/>
      <charset val="204"/>
    </font>
    <font>
      <b/>
      <sz val="13"/>
      <color theme="1"/>
      <name val="Times New Roman"/>
      <family val="1"/>
      <charset val="204"/>
    </font>
    <font>
      <b/>
      <sz val="15"/>
      <color theme="1"/>
      <name val="Times New Roman"/>
      <family val="1"/>
      <charset val="204"/>
    </font>
    <font>
      <b/>
      <sz val="11"/>
      <name val="Times New Roman"/>
      <family val="1"/>
      <charset val="204"/>
    </font>
    <font>
      <sz val="11"/>
      <name val="Times New Roman"/>
      <family val="1"/>
      <charset val="204"/>
    </font>
    <font>
      <u/>
      <sz val="11"/>
      <color theme="1"/>
      <name val="Times New Roman"/>
      <family val="1"/>
      <charset val="204"/>
    </font>
    <font>
      <b/>
      <sz val="13"/>
      <name val="Times New Roman"/>
      <family val="1"/>
      <charset val="204"/>
    </font>
    <font>
      <i/>
      <sz val="12"/>
      <color theme="1"/>
      <name val="Times New Roman"/>
      <family val="1"/>
      <charset val="204"/>
    </font>
    <font>
      <sz val="11"/>
      <color theme="1"/>
      <name val="Calibri"/>
      <family val="2"/>
      <scheme val="minor"/>
    </font>
    <font>
      <sz val="10"/>
      <color rgb="FFFF0000"/>
      <name val="Times New Roman"/>
      <family val="1"/>
      <charset val="204"/>
    </font>
    <font>
      <b/>
      <sz val="8"/>
      <name val="Times New Roman"/>
      <family val="1"/>
      <charset val="204"/>
    </font>
    <font>
      <sz val="10"/>
      <name val="Times New Roman"/>
      <family val="1"/>
      <charset val="204"/>
    </font>
    <font>
      <b/>
      <sz val="10"/>
      <name val="Times New Roman"/>
      <family val="1"/>
      <charset val="204"/>
    </font>
    <font>
      <sz val="14"/>
      <color theme="1"/>
      <name val="Calibri"/>
      <family val="2"/>
      <scheme val="minor"/>
    </font>
    <font>
      <sz val="10"/>
      <name val="Calibri"/>
      <family val="2"/>
      <scheme val="minor"/>
    </font>
    <font>
      <b/>
      <sz val="14"/>
      <color theme="1"/>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diagonal/>
    </border>
  </borders>
  <cellStyleXfs count="3">
    <xf numFmtId="0" fontId="0" fillId="0" borderId="0"/>
    <xf numFmtId="0" fontId="2" fillId="0" borderId="0"/>
    <xf numFmtId="43" fontId="19" fillId="0" borderId="0" applyFont="0" applyFill="0" applyBorder="0" applyAlignment="0" applyProtection="0"/>
  </cellStyleXfs>
  <cellXfs count="181">
    <xf numFmtId="0" fontId="0" fillId="0" borderId="0" xfId="0"/>
    <xf numFmtId="0" fontId="2" fillId="0" borderId="0" xfId="1"/>
    <xf numFmtId="0" fontId="3" fillId="0" borderId="19"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3" borderId="13" xfId="1" applyFont="1" applyFill="1" applyBorder="1" applyAlignment="1">
      <alignment horizontal="center" vertical="center" wrapText="1"/>
    </xf>
    <xf numFmtId="0" fontId="3" fillId="3" borderId="14" xfId="1" applyFont="1" applyFill="1" applyBorder="1" applyAlignment="1">
      <alignment horizontal="center" vertical="center" wrapText="1"/>
    </xf>
    <xf numFmtId="0" fontId="3" fillId="0" borderId="28"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29" xfId="0" applyFont="1" applyBorder="1" applyAlignment="1">
      <alignment vertical="center" wrapText="1"/>
    </xf>
    <xf numFmtId="0" fontId="5" fillId="0" borderId="1" xfId="0" applyFont="1" applyBorder="1" applyAlignment="1">
      <alignment horizontal="center" vertical="center" wrapText="1"/>
    </xf>
    <xf numFmtId="3" fontId="3" fillId="0" borderId="1" xfId="1" applyNumberFormat="1" applyFont="1" applyFill="1" applyBorder="1" applyAlignment="1">
      <alignment horizontal="center" vertical="center" wrapText="1"/>
    </xf>
    <xf numFmtId="0" fontId="3" fillId="3" borderId="20" xfId="1" applyFont="1" applyFill="1" applyBorder="1" applyAlignment="1">
      <alignment horizontal="center" vertical="center"/>
    </xf>
    <xf numFmtId="0" fontId="3" fillId="0" borderId="1" xfId="0" applyFont="1" applyBorder="1" applyAlignment="1">
      <alignment horizontal="center" vertical="center" wrapText="1"/>
    </xf>
    <xf numFmtId="0" fontId="5" fillId="0" borderId="1" xfId="1" applyFont="1" applyFill="1" applyBorder="1" applyAlignment="1">
      <alignment horizontal="center" vertical="center" wrapText="1"/>
    </xf>
    <xf numFmtId="0" fontId="3" fillId="0" borderId="1" xfId="1" applyFont="1" applyFill="1" applyBorder="1" applyAlignment="1">
      <alignment horizontal="left" vertical="center" wrapText="1"/>
    </xf>
    <xf numFmtId="4" fontId="3" fillId="0" borderId="1" xfId="1" applyNumberFormat="1" applyFont="1" applyFill="1" applyBorder="1" applyAlignment="1">
      <alignment horizontal="center" vertical="center" wrapText="1"/>
    </xf>
    <xf numFmtId="0" fontId="3" fillId="0" borderId="1" xfId="1" applyFont="1" applyFill="1" applyBorder="1" applyAlignment="1">
      <alignment horizontal="center" vertical="center"/>
    </xf>
    <xf numFmtId="0" fontId="3" fillId="0" borderId="1" xfId="1" applyFont="1" applyFill="1" applyBorder="1" applyAlignment="1">
      <alignment horizontal="center" vertical="center" wrapText="1"/>
    </xf>
    <xf numFmtId="0" fontId="14" fillId="0" borderId="1" xfId="1" applyFont="1" applyFill="1" applyBorder="1" applyAlignment="1">
      <alignment horizontal="center" vertical="center" wrapText="1"/>
    </xf>
    <xf numFmtId="0" fontId="3" fillId="0" borderId="1" xfId="1" applyFont="1" applyFill="1" applyBorder="1" applyAlignment="1">
      <alignment horizontal="center"/>
    </xf>
    <xf numFmtId="0" fontId="3" fillId="0" borderId="0" xfId="0" applyFont="1" applyFill="1"/>
    <xf numFmtId="0" fontId="3" fillId="0" borderId="0" xfId="1" applyFont="1" applyFill="1"/>
    <xf numFmtId="0" fontId="3" fillId="0" borderId="17" xfId="1" applyFont="1" applyFill="1" applyBorder="1" applyAlignment="1">
      <alignment horizontal="center" vertical="center"/>
    </xf>
    <xf numFmtId="0" fontId="3" fillId="0" borderId="4" xfId="1" applyFont="1" applyFill="1" applyBorder="1" applyAlignment="1">
      <alignment horizontal="center" vertical="center"/>
    </xf>
    <xf numFmtId="0" fontId="3" fillId="0" borderId="5" xfId="1" applyFont="1" applyFill="1" applyBorder="1" applyAlignment="1">
      <alignment horizontal="left" vertical="center" wrapText="1"/>
    </xf>
    <xf numFmtId="0" fontId="5" fillId="0" borderId="5" xfId="1" applyFont="1" applyFill="1" applyBorder="1" applyAlignment="1">
      <alignment horizontal="center" vertical="center" wrapText="1"/>
    </xf>
    <xf numFmtId="0" fontId="9" fillId="0" borderId="5" xfId="1" applyFont="1" applyFill="1" applyBorder="1" applyAlignment="1">
      <alignment horizontal="center" vertical="center" wrapText="1"/>
    </xf>
    <xf numFmtId="0" fontId="3" fillId="0" borderId="6" xfId="1" applyFont="1" applyFill="1" applyBorder="1" applyAlignment="1">
      <alignment horizontal="center" vertical="center" wrapText="1"/>
    </xf>
    <xf numFmtId="0" fontId="3" fillId="0" borderId="11" xfId="1" applyFont="1" applyFill="1" applyBorder="1" applyAlignment="1">
      <alignment horizontal="center" vertical="center"/>
    </xf>
    <xf numFmtId="0" fontId="9" fillId="0" borderId="1" xfId="1" applyFont="1" applyFill="1" applyBorder="1" applyAlignment="1">
      <alignment horizontal="center" vertical="center" wrapText="1"/>
    </xf>
    <xf numFmtId="1" fontId="3" fillId="0" borderId="1" xfId="1" applyNumberFormat="1" applyFont="1" applyFill="1" applyBorder="1" applyAlignment="1">
      <alignment horizontal="center" vertical="center" wrapText="1"/>
    </xf>
    <xf numFmtId="0" fontId="3" fillId="0" borderId="12" xfId="1" applyFont="1" applyFill="1" applyBorder="1" applyAlignment="1">
      <alignment horizontal="center" vertical="center" wrapText="1"/>
    </xf>
    <xf numFmtId="16" fontId="3" fillId="0" borderId="11" xfId="1" applyNumberFormat="1" applyFont="1" applyFill="1" applyBorder="1" applyAlignment="1">
      <alignment horizontal="center" vertical="center"/>
    </xf>
    <xf numFmtId="14" fontId="3" fillId="0" borderId="11" xfId="1" applyNumberFormat="1" applyFont="1" applyFill="1" applyBorder="1" applyAlignment="1">
      <alignment horizontal="center" vertical="center"/>
    </xf>
    <xf numFmtId="4" fontId="15" fillId="0" borderId="1" xfId="1" applyNumberFormat="1" applyFont="1" applyFill="1" applyBorder="1" applyAlignment="1">
      <alignment horizontal="center" vertical="center" wrapText="1"/>
    </xf>
    <xf numFmtId="0" fontId="3" fillId="0" borderId="1" xfId="1" applyFont="1" applyFill="1" applyBorder="1" applyAlignment="1">
      <alignment horizontal="left" wrapText="1"/>
    </xf>
    <xf numFmtId="0" fontId="10" fillId="0" borderId="1" xfId="1" applyFont="1" applyFill="1" applyBorder="1" applyAlignment="1">
      <alignment horizontal="center" vertical="center" wrapText="1"/>
    </xf>
    <xf numFmtId="2" fontId="3" fillId="0" borderId="1" xfId="1" applyNumberFormat="1" applyFont="1" applyFill="1" applyBorder="1" applyAlignment="1">
      <alignment horizontal="center" vertical="center" wrapText="1"/>
    </xf>
    <xf numFmtId="0" fontId="3" fillId="0" borderId="1" xfId="1" applyFont="1" applyFill="1" applyBorder="1" applyAlignment="1">
      <alignment horizontal="left" vertical="top" wrapText="1"/>
    </xf>
    <xf numFmtId="0" fontId="3" fillId="0" borderId="7" xfId="1" applyFont="1" applyFill="1" applyBorder="1" applyAlignment="1">
      <alignment horizontal="center" vertical="center"/>
    </xf>
    <xf numFmtId="0" fontId="3" fillId="0" borderId="8" xfId="1" applyFont="1" applyFill="1" applyBorder="1" applyAlignment="1">
      <alignment horizontal="left" vertical="center" wrapText="1"/>
    </xf>
    <xf numFmtId="0" fontId="5" fillId="0" borderId="8" xfId="1" applyFont="1" applyFill="1" applyBorder="1" applyAlignment="1">
      <alignment horizontal="center" vertical="center" wrapText="1"/>
    </xf>
    <xf numFmtId="3" fontId="3" fillId="0" borderId="8" xfId="1" applyNumberFormat="1" applyFont="1" applyFill="1" applyBorder="1" applyAlignment="1">
      <alignment horizontal="center" vertical="center" wrapText="1"/>
    </xf>
    <xf numFmtId="0" fontId="7" fillId="0" borderId="9" xfId="1" applyFont="1" applyFill="1" applyBorder="1" applyAlignment="1">
      <alignment horizontal="center" vertical="center" wrapText="1"/>
    </xf>
    <xf numFmtId="0" fontId="3" fillId="0" borderId="22" xfId="1" applyFont="1" applyFill="1" applyBorder="1" applyAlignment="1">
      <alignment horizontal="center" vertical="center"/>
    </xf>
    <xf numFmtId="0" fontId="3" fillId="0" borderId="5" xfId="1" applyFont="1" applyFill="1" applyBorder="1" applyAlignment="1">
      <alignment horizontal="left" vertical="top" wrapText="1"/>
    </xf>
    <xf numFmtId="49" fontId="3" fillId="0" borderId="11" xfId="1" applyNumberFormat="1" applyFont="1" applyFill="1" applyBorder="1" applyAlignment="1">
      <alignment horizontal="center" vertical="center"/>
    </xf>
    <xf numFmtId="0" fontId="3" fillId="0" borderId="33" xfId="1" applyFont="1" applyFill="1" applyBorder="1" applyAlignment="1">
      <alignment horizontal="center" vertical="center"/>
    </xf>
    <xf numFmtId="2" fontId="5" fillId="0"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9" fillId="0" borderId="8" xfId="1" applyFont="1" applyFill="1" applyBorder="1" applyAlignment="1">
      <alignment horizontal="center" vertical="center" wrapText="1"/>
    </xf>
    <xf numFmtId="165" fontId="3" fillId="0" borderId="8" xfId="1" applyNumberFormat="1" applyFont="1" applyFill="1" applyBorder="1" applyAlignment="1">
      <alignment horizontal="center" vertical="center" wrapText="1"/>
    </xf>
    <xf numFmtId="0" fontId="3" fillId="0" borderId="9" xfId="1" applyFont="1" applyFill="1" applyBorder="1" applyAlignment="1">
      <alignment horizontal="center" vertical="center" wrapText="1"/>
    </xf>
    <xf numFmtId="0" fontId="3" fillId="0" borderId="3" xfId="1" applyFont="1" applyFill="1" applyBorder="1" applyAlignment="1">
      <alignment horizontal="center" vertical="center"/>
    </xf>
    <xf numFmtId="0" fontId="3" fillId="0" borderId="3" xfId="1" applyFont="1" applyFill="1" applyBorder="1" applyAlignment="1">
      <alignment horizontal="left" vertical="center" wrapText="1"/>
    </xf>
    <xf numFmtId="0" fontId="5" fillId="0" borderId="3" xfId="1" applyFont="1" applyFill="1" applyBorder="1" applyAlignment="1">
      <alignment horizontal="center" vertical="center" wrapText="1"/>
    </xf>
    <xf numFmtId="0" fontId="9" fillId="0" borderId="3" xfId="1" applyFont="1" applyFill="1" applyBorder="1" applyAlignment="1">
      <alignment horizontal="center" vertical="center" wrapText="1"/>
    </xf>
    <xf numFmtId="164" fontId="5" fillId="0" borderId="3" xfId="1" applyNumberFormat="1" applyFont="1" applyFill="1" applyBorder="1" applyAlignment="1">
      <alignment horizontal="center" vertical="center" wrapText="1"/>
    </xf>
    <xf numFmtId="0" fontId="3" fillId="0" borderId="3" xfId="1" applyFont="1" applyFill="1" applyBorder="1" applyAlignment="1">
      <alignment horizontal="center" vertical="center" wrapText="1"/>
    </xf>
    <xf numFmtId="0" fontId="15" fillId="0" borderId="1" xfId="1" applyFont="1" applyFill="1" applyBorder="1" applyAlignment="1">
      <alignment horizontal="center" vertical="center"/>
    </xf>
    <xf numFmtId="2" fontId="5" fillId="0" borderId="1" xfId="1" applyNumberFormat="1" applyFont="1" applyFill="1" applyBorder="1" applyAlignment="1">
      <alignment horizontal="center" vertical="center" wrapText="1"/>
    </xf>
    <xf numFmtId="0" fontId="3" fillId="0" borderId="1" xfId="1" applyFont="1" applyFill="1" applyBorder="1" applyAlignment="1">
      <alignment horizontal="center" wrapText="1"/>
    </xf>
    <xf numFmtId="164" fontId="5" fillId="0" borderId="1" xfId="1" applyNumberFormat="1" applyFont="1" applyFill="1" applyBorder="1" applyAlignment="1">
      <alignment horizontal="center" vertical="center" wrapText="1"/>
    </xf>
    <xf numFmtId="164" fontId="3" fillId="0" borderId="1" xfId="1" applyNumberFormat="1" applyFont="1" applyFill="1" applyBorder="1" applyAlignment="1">
      <alignment horizontal="center" vertical="center" wrapText="1"/>
    </xf>
    <xf numFmtId="0" fontId="3" fillId="0" borderId="26" xfId="1" applyFont="1" applyFill="1" applyBorder="1" applyAlignment="1">
      <alignment horizontal="left" vertical="center" wrapText="1"/>
    </xf>
    <xf numFmtId="0" fontId="3" fillId="0" borderId="1" xfId="1" applyFont="1" applyFill="1" applyBorder="1" applyAlignment="1">
      <alignment vertical="center"/>
    </xf>
    <xf numFmtId="0" fontId="3" fillId="0" borderId="1" xfId="1" applyFont="1" applyFill="1" applyBorder="1" applyAlignment="1">
      <alignment wrapText="1"/>
    </xf>
    <xf numFmtId="165" fontId="3" fillId="0" borderId="1" xfId="1" applyNumberFormat="1" applyFont="1" applyFill="1" applyBorder="1" applyAlignment="1">
      <alignment horizontal="center" vertical="center" wrapText="1"/>
    </xf>
    <xf numFmtId="0" fontId="3" fillId="0" borderId="26" xfId="1" applyFont="1" applyFill="1" applyBorder="1" applyAlignment="1">
      <alignment horizontal="center" vertical="center"/>
    </xf>
    <xf numFmtId="0" fontId="5" fillId="0" borderId="1" xfId="1" applyFont="1" applyFill="1" applyBorder="1" applyAlignment="1">
      <alignment horizontal="center" vertical="center"/>
    </xf>
    <xf numFmtId="0" fontId="9" fillId="0" borderId="1" xfId="1" applyFont="1" applyFill="1" applyBorder="1" applyAlignment="1">
      <alignment horizontal="center" vertical="center"/>
    </xf>
    <xf numFmtId="0" fontId="11" fillId="0" borderId="1" xfId="1" applyFont="1" applyFill="1" applyBorder="1" applyAlignment="1">
      <alignment horizontal="center" vertical="center"/>
    </xf>
    <xf numFmtId="0" fontId="18" fillId="0" borderId="1" xfId="1" applyFont="1" applyFill="1" applyBorder="1" applyAlignment="1">
      <alignment horizontal="center" vertical="center"/>
    </xf>
    <xf numFmtId="164" fontId="3" fillId="0" borderId="3" xfId="1" applyNumberFormat="1" applyFont="1" applyFill="1" applyBorder="1" applyAlignment="1">
      <alignment horizontal="center" vertical="center" wrapText="1"/>
    </xf>
    <xf numFmtId="0" fontId="18" fillId="0" borderId="1" xfId="1" applyFont="1" applyFill="1" applyBorder="1" applyAlignment="1">
      <alignment horizontal="center"/>
    </xf>
    <xf numFmtId="164" fontId="3" fillId="0" borderId="1" xfId="1" applyNumberFormat="1" applyFont="1" applyFill="1" applyBorder="1" applyAlignment="1">
      <alignment horizontal="center" vertical="center"/>
    </xf>
    <xf numFmtId="0" fontId="9" fillId="0" borderId="1" xfId="1" applyFont="1" applyFill="1" applyBorder="1"/>
    <xf numFmtId="2" fontId="5" fillId="0" borderId="1" xfId="0" applyNumberFormat="1" applyFont="1" applyFill="1" applyBorder="1" applyAlignment="1">
      <alignment horizontal="center" vertical="center" wrapText="1"/>
    </xf>
    <xf numFmtId="16" fontId="3" fillId="0" borderId="1" xfId="1" applyNumberFormat="1" applyFont="1" applyFill="1" applyBorder="1" applyAlignment="1">
      <alignment horizontal="center" vertical="center"/>
    </xf>
    <xf numFmtId="166" fontId="15" fillId="0" borderId="1" xfId="1" applyNumberFormat="1" applyFont="1" applyFill="1" applyBorder="1" applyAlignment="1">
      <alignment horizontal="center" vertical="center" wrapText="1"/>
    </xf>
    <xf numFmtId="49" fontId="3" fillId="0" borderId="1" xfId="1" applyNumberFormat="1" applyFont="1" applyFill="1" applyBorder="1" applyAlignment="1">
      <alignment horizontal="center" vertical="center"/>
    </xf>
    <xf numFmtId="2" fontId="3" fillId="2" borderId="1" xfId="1" applyNumberFormat="1" applyFont="1" applyFill="1" applyBorder="1" applyAlignment="1">
      <alignment horizontal="center" vertical="center" wrapText="1"/>
    </xf>
    <xf numFmtId="0" fontId="7" fillId="2" borderId="1" xfId="1" applyFont="1" applyFill="1" applyBorder="1" applyAlignment="1">
      <alignment horizontal="center" vertical="center" wrapText="1"/>
    </xf>
    <xf numFmtId="0" fontId="3" fillId="2" borderId="1" xfId="1" applyFont="1" applyFill="1" applyBorder="1" applyAlignment="1">
      <alignment horizontal="center" vertical="center" wrapText="1"/>
    </xf>
    <xf numFmtId="0" fontId="3" fillId="2" borderId="1" xfId="1" applyFont="1" applyFill="1" applyBorder="1" applyAlignment="1">
      <alignment horizontal="center" vertical="center"/>
    </xf>
    <xf numFmtId="4" fontId="15" fillId="2" borderId="1" xfId="1" applyNumberFormat="1" applyFont="1" applyFill="1" applyBorder="1" applyAlignment="1">
      <alignment horizontal="center" vertical="center" wrapText="1"/>
    </xf>
    <xf numFmtId="0" fontId="3" fillId="2" borderId="12" xfId="1" applyFont="1" applyFill="1" applyBorder="1" applyAlignment="1">
      <alignment horizontal="center" vertical="center" wrapText="1"/>
    </xf>
    <xf numFmtId="164" fontId="15" fillId="2" borderId="1" xfId="1"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4" fontId="3" fillId="2" borderId="1" xfId="1" applyNumberFormat="1" applyFont="1" applyFill="1" applyBorder="1" applyAlignment="1">
      <alignment horizontal="center" vertical="center" wrapText="1"/>
    </xf>
    <xf numFmtId="2" fontId="5" fillId="0" borderId="0" xfId="1" applyNumberFormat="1" applyFont="1" applyFill="1" applyAlignment="1">
      <alignment horizontal="center" vertical="center"/>
    </xf>
    <xf numFmtId="0" fontId="2" fillId="0" borderId="0" xfId="1" applyFill="1"/>
    <xf numFmtId="0" fontId="2" fillId="0" borderId="0" xfId="1" applyFill="1" applyAlignment="1"/>
    <xf numFmtId="4" fontId="3" fillId="0" borderId="0" xfId="1" applyNumberFormat="1" applyFont="1" applyFill="1" applyAlignment="1">
      <alignment horizontal="center" vertical="center"/>
    </xf>
    <xf numFmtId="4" fontId="3" fillId="0" borderId="0" xfId="1" applyNumberFormat="1" applyFont="1" applyFill="1" applyAlignment="1">
      <alignment horizontal="center" vertical="center" wrapText="1"/>
    </xf>
    <xf numFmtId="0" fontId="3" fillId="0" borderId="0" xfId="1" applyFont="1" applyFill="1" applyAlignment="1"/>
    <xf numFmtId="0" fontId="3" fillId="0" borderId="0" xfId="1" applyFont="1" applyFill="1" applyAlignment="1">
      <alignment wrapText="1"/>
    </xf>
    <xf numFmtId="4" fontId="2" fillId="0" borderId="0" xfId="1" applyNumberFormat="1" applyFill="1" applyAlignment="1">
      <alignment horizontal="center" vertical="center"/>
    </xf>
    <xf numFmtId="0" fontId="0" fillId="0" borderId="0" xfId="0" applyFill="1"/>
    <xf numFmtId="4" fontId="0" fillId="0" borderId="0" xfId="0" applyNumberFormat="1" applyFill="1" applyAlignment="1">
      <alignment horizontal="center" vertical="center"/>
    </xf>
    <xf numFmtId="0" fontId="0" fillId="0" borderId="0" xfId="0" applyFill="1" applyAlignment="1">
      <alignment horizontal="center" vertical="center"/>
    </xf>
    <xf numFmtId="3" fontId="3" fillId="2" borderId="1" xfId="1" applyNumberFormat="1" applyFont="1" applyFill="1" applyBorder="1" applyAlignment="1">
      <alignment horizontal="center" vertical="center" wrapText="1"/>
    </xf>
    <xf numFmtId="164" fontId="15" fillId="0" borderId="1" xfId="1" applyNumberFormat="1" applyFont="1" applyFill="1" applyBorder="1" applyAlignment="1">
      <alignment horizontal="center" vertical="center" wrapText="1"/>
    </xf>
    <xf numFmtId="166" fontId="3" fillId="0" borderId="0" xfId="1" applyNumberFormat="1" applyFont="1" applyFill="1" applyAlignment="1">
      <alignment horizontal="center" vertical="center"/>
    </xf>
    <xf numFmtId="4" fontId="15" fillId="2" borderId="1" xfId="1" applyNumberFormat="1" applyFont="1" applyFill="1" applyBorder="1" applyAlignment="1">
      <alignment horizontal="center" vertical="center"/>
    </xf>
    <xf numFmtId="2" fontId="15" fillId="2" borderId="1" xfId="1" applyNumberFormat="1" applyFont="1" applyFill="1" applyBorder="1" applyAlignment="1">
      <alignment horizontal="center" vertical="center"/>
    </xf>
    <xf numFmtId="0" fontId="3" fillId="0" borderId="1" xfId="1" applyFont="1" applyFill="1" applyBorder="1" applyAlignment="1">
      <alignment vertical="center" wrapText="1"/>
    </xf>
    <xf numFmtId="2" fontId="15" fillId="0" borderId="1" xfId="1" applyNumberFormat="1" applyFont="1" applyFill="1" applyBorder="1" applyAlignment="1">
      <alignment horizontal="center" vertical="center" wrapText="1"/>
    </xf>
    <xf numFmtId="1" fontId="15" fillId="2" borderId="1" xfId="1" applyNumberFormat="1" applyFont="1" applyFill="1" applyBorder="1" applyAlignment="1">
      <alignment horizontal="center" vertical="center" wrapText="1"/>
    </xf>
    <xf numFmtId="0" fontId="15" fillId="2" borderId="1" xfId="1" applyFont="1" applyFill="1" applyBorder="1" applyAlignment="1">
      <alignment horizontal="center" vertical="center" wrapText="1"/>
    </xf>
    <xf numFmtId="3" fontId="15" fillId="2" borderId="1" xfId="1" applyNumberFormat="1" applyFont="1" applyFill="1" applyBorder="1" applyAlignment="1">
      <alignment horizontal="center" vertical="center" wrapText="1"/>
    </xf>
    <xf numFmtId="164" fontId="3" fillId="2" borderId="1" xfId="1" applyNumberFormat="1" applyFont="1" applyFill="1" applyBorder="1" applyAlignment="1">
      <alignment horizontal="center" vertical="center" wrapText="1"/>
    </xf>
    <xf numFmtId="3" fontId="8" fillId="2" borderId="1" xfId="1" applyNumberFormat="1" applyFont="1" applyFill="1" applyBorder="1" applyAlignment="1">
      <alignment horizontal="center" vertical="center" wrapText="1"/>
    </xf>
    <xf numFmtId="2" fontId="5" fillId="2" borderId="5" xfId="1" applyNumberFormat="1" applyFont="1" applyFill="1" applyBorder="1" applyAlignment="1">
      <alignment horizontal="center" vertical="center" wrapText="1"/>
    </xf>
    <xf numFmtId="0" fontId="3" fillId="2" borderId="6" xfId="1" applyFont="1" applyFill="1" applyBorder="1" applyAlignment="1">
      <alignment horizontal="center" vertical="center" wrapText="1"/>
    </xf>
    <xf numFmtId="0" fontId="3" fillId="2" borderId="0" xfId="1" applyFont="1" applyFill="1" applyAlignment="1">
      <alignment wrapText="1"/>
    </xf>
    <xf numFmtId="0" fontId="13" fillId="0" borderId="0" xfId="1" applyFont="1" applyAlignment="1">
      <alignment horizontal="center"/>
    </xf>
    <xf numFmtId="0" fontId="3" fillId="2" borderId="1" xfId="0" applyFont="1" applyFill="1" applyBorder="1" applyAlignment="1">
      <alignment horizontal="center" vertical="center" wrapText="1"/>
    </xf>
    <xf numFmtId="0" fontId="3" fillId="2" borderId="29" xfId="0" applyFont="1" applyFill="1" applyBorder="1" applyAlignment="1">
      <alignment vertical="center" wrapText="1"/>
    </xf>
    <xf numFmtId="0" fontId="3" fillId="2" borderId="19" xfId="0" applyFont="1" applyFill="1" applyBorder="1" applyAlignment="1">
      <alignment horizontal="center" vertical="center" wrapText="1"/>
    </xf>
    <xf numFmtId="166" fontId="3" fillId="2" borderId="1" xfId="1" applyNumberFormat="1" applyFont="1" applyFill="1" applyBorder="1" applyAlignment="1">
      <alignment horizontal="center" vertical="center" wrapText="1"/>
    </xf>
    <xf numFmtId="0" fontId="3" fillId="2" borderId="1" xfId="0" applyFont="1" applyFill="1" applyBorder="1" applyAlignment="1">
      <alignment vertical="center" wrapText="1"/>
    </xf>
    <xf numFmtId="0" fontId="3" fillId="0" borderId="0" xfId="0" applyFont="1" applyAlignment="1">
      <alignment horizontal="center"/>
    </xf>
    <xf numFmtId="0" fontId="3" fillId="0" borderId="0" xfId="0" applyFont="1"/>
    <xf numFmtId="1" fontId="8" fillId="2" borderId="1" xfId="1" applyNumberFormat="1" applyFont="1" applyFill="1" applyBorder="1" applyAlignment="1">
      <alignment horizontal="center" vertical="center" wrapText="1"/>
    </xf>
    <xf numFmtId="166" fontId="8" fillId="2" borderId="1" xfId="1" applyNumberFormat="1" applyFont="1" applyFill="1" applyBorder="1" applyAlignment="1">
      <alignment horizontal="center" vertical="center" wrapText="1"/>
    </xf>
    <xf numFmtId="0" fontId="20" fillId="0" borderId="1" xfId="0" applyFont="1" applyBorder="1"/>
    <xf numFmtId="0" fontId="22" fillId="0" borderId="1" xfId="0" applyFont="1" applyBorder="1" applyAlignment="1">
      <alignment horizontal="center" vertical="center" wrapText="1"/>
    </xf>
    <xf numFmtId="4" fontId="22" fillId="0" borderId="1" xfId="0" applyNumberFormat="1" applyFont="1" applyBorder="1" applyAlignment="1">
      <alignment horizontal="center" vertical="center" wrapText="1"/>
    </xf>
    <xf numFmtId="10" fontId="3" fillId="0" borderId="0" xfId="0" applyNumberFormat="1" applyFont="1"/>
    <xf numFmtId="43" fontId="3" fillId="0" borderId="0" xfId="2" applyFont="1"/>
    <xf numFmtId="3" fontId="22" fillId="0" borderId="1" xfId="0" applyNumberFormat="1" applyFont="1" applyBorder="1" applyAlignment="1">
      <alignment horizontal="center" vertical="center" wrapText="1"/>
    </xf>
    <xf numFmtId="0" fontId="22" fillId="0" borderId="1" xfId="0" applyFont="1" applyBorder="1" applyAlignment="1">
      <alignment horizontal="center"/>
    </xf>
    <xf numFmtId="0" fontId="23" fillId="0" borderId="1" xfId="0" applyFont="1" applyBorder="1"/>
    <xf numFmtId="4" fontId="23" fillId="0" borderId="1" xfId="0" applyNumberFormat="1" applyFont="1" applyBorder="1"/>
    <xf numFmtId="0" fontId="22" fillId="0" borderId="1" xfId="0" applyFont="1" applyBorder="1"/>
    <xf numFmtId="4" fontId="23" fillId="0" borderId="1" xfId="0" applyNumberFormat="1" applyFont="1" applyBorder="1" applyAlignment="1">
      <alignment horizontal="center" vertical="center"/>
    </xf>
    <xf numFmtId="4" fontId="22" fillId="0" borderId="1" xfId="0" applyNumberFormat="1" applyFont="1" applyFill="1" applyBorder="1" applyAlignment="1">
      <alignment horizontal="center" vertical="center" wrapText="1"/>
    </xf>
    <xf numFmtId="0" fontId="22" fillId="0" borderId="1" xfId="0" applyFont="1" applyBorder="1" applyAlignment="1">
      <alignment horizontal="center" vertical="center" wrapText="1"/>
    </xf>
    <xf numFmtId="0" fontId="15" fillId="0" borderId="1" xfId="0" applyFont="1" applyBorder="1" applyAlignment="1">
      <alignment horizontal="center" vertical="center" wrapText="1"/>
    </xf>
    <xf numFmtId="1" fontId="22" fillId="0" borderId="1" xfId="0" applyNumberFormat="1" applyFont="1" applyBorder="1" applyAlignment="1">
      <alignment horizontal="center" vertical="center" wrapText="1"/>
    </xf>
    <xf numFmtId="0" fontId="24" fillId="0" borderId="1" xfId="0" applyFont="1" applyBorder="1"/>
    <xf numFmtId="4" fontId="8" fillId="2" borderId="1" xfId="1" applyNumberFormat="1" applyFont="1" applyFill="1" applyBorder="1" applyAlignment="1">
      <alignment horizontal="center" vertical="center" wrapText="1"/>
    </xf>
    <xf numFmtId="0" fontId="22" fillId="0" borderId="1" xfId="0" applyFont="1" applyBorder="1" applyAlignment="1">
      <alignment horizontal="center" vertical="center" wrapText="1"/>
    </xf>
    <xf numFmtId="0" fontId="22" fillId="0" borderId="1" xfId="0" applyFont="1" applyFill="1" applyBorder="1" applyAlignment="1">
      <alignment horizontal="center" vertical="center" wrapText="1"/>
    </xf>
    <xf numFmtId="0" fontId="1" fillId="0" borderId="0" xfId="1" applyFont="1" applyFill="1"/>
    <xf numFmtId="0" fontId="12" fillId="0" borderId="24" xfId="1" applyFont="1" applyFill="1" applyBorder="1" applyAlignment="1">
      <alignment horizontal="center" vertical="center"/>
    </xf>
    <xf numFmtId="0" fontId="12" fillId="0" borderId="25" xfId="1" applyFont="1" applyFill="1" applyBorder="1" applyAlignment="1">
      <alignment horizontal="center" vertical="center"/>
    </xf>
    <xf numFmtId="0" fontId="12" fillId="0" borderId="2" xfId="1" applyFont="1" applyFill="1" applyBorder="1" applyAlignment="1">
      <alignment horizontal="center" vertical="center"/>
    </xf>
    <xf numFmtId="0" fontId="13" fillId="0" borderId="0" xfId="1" applyFont="1" applyFill="1" applyAlignment="1">
      <alignment horizontal="center"/>
    </xf>
    <xf numFmtId="0" fontId="12" fillId="0" borderId="32" xfId="1" applyFont="1" applyFill="1" applyBorder="1" applyAlignment="1">
      <alignment horizontal="center" vertical="center" wrapText="1"/>
    </xf>
    <xf numFmtId="0" fontId="12" fillId="0" borderId="27" xfId="1" applyFont="1" applyFill="1" applyBorder="1" applyAlignment="1">
      <alignment horizontal="center" vertical="center" wrapText="1"/>
    </xf>
    <xf numFmtId="0" fontId="12" fillId="0" borderId="30" xfId="1" applyFont="1" applyFill="1" applyBorder="1" applyAlignment="1">
      <alignment horizontal="center" vertical="center" wrapText="1"/>
    </xf>
    <xf numFmtId="0" fontId="13" fillId="0" borderId="0" xfId="1" applyFont="1" applyAlignment="1">
      <alignment horizontal="center"/>
    </xf>
    <xf numFmtId="0" fontId="12" fillId="0" borderId="18" xfId="1" applyFont="1" applyFill="1" applyBorder="1" applyAlignment="1">
      <alignment horizontal="center" vertical="center"/>
    </xf>
    <xf numFmtId="0" fontId="12" fillId="0" borderId="19" xfId="1" applyFont="1" applyFill="1" applyBorder="1" applyAlignment="1">
      <alignment horizontal="center" vertical="center"/>
    </xf>
    <xf numFmtId="0" fontId="12" fillId="0" borderId="31" xfId="1" applyFont="1" applyFill="1" applyBorder="1" applyAlignment="1">
      <alignment horizontal="center" vertical="center"/>
    </xf>
    <xf numFmtId="0" fontId="12" fillId="0" borderId="15" xfId="1" applyFont="1" applyFill="1" applyBorder="1" applyAlignment="1">
      <alignment horizontal="center" vertical="center"/>
    </xf>
    <xf numFmtId="0" fontId="12" fillId="0" borderId="16" xfId="1" applyFont="1" applyFill="1" applyBorder="1" applyAlignment="1">
      <alignment horizontal="center" vertical="center"/>
    </xf>
    <xf numFmtId="0" fontId="17" fillId="0" borderId="23" xfId="1" applyFont="1" applyFill="1" applyBorder="1" applyAlignment="1">
      <alignment horizontal="center" vertical="center" wrapText="1"/>
    </xf>
    <xf numFmtId="0" fontId="17" fillId="0" borderId="21" xfId="1" applyFont="1" applyFill="1" applyBorder="1" applyAlignment="1">
      <alignment horizontal="center" vertical="center" wrapText="1"/>
    </xf>
    <xf numFmtId="0" fontId="17" fillId="0" borderId="10" xfId="1" applyFont="1" applyFill="1" applyBorder="1" applyAlignment="1">
      <alignment horizontal="center" vertical="center" wrapText="1"/>
    </xf>
    <xf numFmtId="0" fontId="12" fillId="0" borderId="24" xfId="1" applyFont="1" applyFill="1" applyBorder="1" applyAlignment="1">
      <alignment horizontal="center" vertical="center" wrapText="1"/>
    </xf>
    <xf numFmtId="0" fontId="12" fillId="0" borderId="25" xfId="1" applyFont="1" applyFill="1" applyBorder="1" applyAlignment="1">
      <alignment horizontal="center" vertical="center" wrapText="1"/>
    </xf>
    <xf numFmtId="0" fontId="12" fillId="0" borderId="2" xfId="1" applyFont="1" applyFill="1" applyBorder="1" applyAlignment="1">
      <alignment horizontal="center" vertical="center" wrapText="1"/>
    </xf>
    <xf numFmtId="0" fontId="12" fillId="0" borderId="24" xfId="1" applyFont="1" applyFill="1" applyBorder="1" applyAlignment="1">
      <alignment horizontal="center" wrapText="1"/>
    </xf>
    <xf numFmtId="0" fontId="12" fillId="0" borderId="25" xfId="1" applyFont="1" applyFill="1" applyBorder="1" applyAlignment="1">
      <alignment horizontal="center" wrapText="1"/>
    </xf>
    <xf numFmtId="0" fontId="22"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5" fillId="0" borderId="0" xfId="0" applyFont="1" applyBorder="1" applyAlignment="1">
      <alignment horizontal="center" vertical="center"/>
    </xf>
    <xf numFmtId="0" fontId="21" fillId="0" borderId="34"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34" xfId="0" applyFont="1" applyFill="1" applyBorder="1" applyAlignment="1">
      <alignment horizontal="center" vertical="center" wrapText="1"/>
    </xf>
    <xf numFmtId="0" fontId="21" fillId="0" borderId="3" xfId="0" applyFont="1" applyFill="1" applyBorder="1" applyAlignment="1">
      <alignment horizontal="center" vertical="center" wrapText="1"/>
    </xf>
    <xf numFmtId="0" fontId="26" fillId="0" borderId="0" xfId="1" applyFont="1" applyAlignment="1">
      <alignment horizontal="center" wrapText="1"/>
    </xf>
    <xf numFmtId="0" fontId="3" fillId="0" borderId="1" xfId="0" applyFont="1" applyBorder="1" applyAlignment="1">
      <alignment horizontal="center" vertical="center" wrapText="1"/>
    </xf>
    <xf numFmtId="0" fontId="24" fillId="0" borderId="1" xfId="0" applyFont="1" applyBorder="1" applyAlignment="1">
      <alignment wrapText="1"/>
    </xf>
    <xf numFmtId="0" fontId="24" fillId="0" borderId="1" xfId="0" applyFont="1" applyBorder="1" applyAlignment="1"/>
    <xf numFmtId="0" fontId="3" fillId="0" borderId="0" xfId="0" applyFont="1" applyAlignment="1">
      <alignment wrapText="1"/>
    </xf>
  </cellXfs>
  <cellStyles count="3">
    <cellStyle name="Обычный" xfId="0" builtinId="0"/>
    <cellStyle name="Обычный 2" xfId="1"/>
    <cellStyle name="Финансовый"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H94"/>
  <sheetViews>
    <sheetView topLeftCell="A82" zoomScale="80" zoomScaleNormal="80" workbookViewId="0">
      <selection activeCell="E84" sqref="E84"/>
    </sheetView>
  </sheetViews>
  <sheetFormatPr defaultRowHeight="15"/>
  <cols>
    <col min="1" max="1" width="11.42578125" customWidth="1"/>
    <col min="2" max="2" width="48" customWidth="1"/>
    <col min="3" max="3" width="12.5703125" customWidth="1"/>
    <col min="5" max="5" width="16.42578125" customWidth="1"/>
    <col min="6" max="6" width="46.5703125" customWidth="1"/>
    <col min="7" max="7" width="52.140625" customWidth="1"/>
  </cols>
  <sheetData>
    <row r="1" spans="1:8" ht="19.5">
      <c r="A1" s="155" t="s">
        <v>0</v>
      </c>
      <c r="B1" s="155"/>
      <c r="C1" s="155"/>
      <c r="D1" s="155"/>
      <c r="E1" s="155"/>
      <c r="F1" s="155"/>
      <c r="G1" s="1"/>
      <c r="H1" s="1"/>
    </row>
    <row r="2" spans="1:8" ht="15.75" thickBot="1">
      <c r="A2" s="1"/>
      <c r="B2" s="1"/>
      <c r="C2" s="1"/>
      <c r="D2" s="1"/>
      <c r="E2" s="1"/>
      <c r="F2" s="1"/>
      <c r="G2" s="1"/>
      <c r="H2" s="1"/>
    </row>
    <row r="3" spans="1:8" ht="30.75" thickBot="1">
      <c r="A3" s="13" t="s">
        <v>1</v>
      </c>
      <c r="B3" s="6" t="s">
        <v>2</v>
      </c>
      <c r="C3" s="6" t="s">
        <v>3</v>
      </c>
      <c r="D3" s="6" t="s">
        <v>4</v>
      </c>
      <c r="E3" s="6" t="s">
        <v>5</v>
      </c>
      <c r="F3" s="7" t="s">
        <v>6</v>
      </c>
      <c r="G3" s="94"/>
      <c r="H3" s="94"/>
    </row>
    <row r="4" spans="1:8" ht="17.25" thickBot="1">
      <c r="A4" s="24" t="s">
        <v>7</v>
      </c>
      <c r="B4" s="156" t="s">
        <v>275</v>
      </c>
      <c r="C4" s="156"/>
      <c r="D4" s="156"/>
      <c r="E4" s="156"/>
      <c r="F4" s="157"/>
      <c r="G4" s="94"/>
      <c r="H4" s="94"/>
    </row>
    <row r="5" spans="1:8" ht="30">
      <c r="A5" s="25">
        <v>1</v>
      </c>
      <c r="B5" s="26" t="s">
        <v>9</v>
      </c>
      <c r="C5" s="27" t="s">
        <v>10</v>
      </c>
      <c r="D5" s="28" t="s">
        <v>11</v>
      </c>
      <c r="E5" s="92" t="e">
        <f>((E6*E7)/E15)*E11*E12*(E13/E14)</f>
        <v>#DIV/0!</v>
      </c>
      <c r="F5" s="29" t="s">
        <v>238</v>
      </c>
      <c r="G5" s="94"/>
      <c r="H5" s="94"/>
    </row>
    <row r="6" spans="1:8">
      <c r="A6" s="30" t="s">
        <v>13</v>
      </c>
      <c r="B6" s="16" t="s">
        <v>14</v>
      </c>
      <c r="C6" s="15">
        <v>12</v>
      </c>
      <c r="D6" s="31" t="s">
        <v>15</v>
      </c>
      <c r="E6" s="32">
        <v>12</v>
      </c>
      <c r="F6" s="33"/>
      <c r="G6" s="94"/>
      <c r="H6" s="94"/>
    </row>
    <row r="7" spans="1:8">
      <c r="A7" s="34" t="s">
        <v>20</v>
      </c>
      <c r="B7" s="16" t="s">
        <v>274</v>
      </c>
      <c r="C7" s="15" t="s">
        <v>206</v>
      </c>
      <c r="D7" s="31" t="s">
        <v>21</v>
      </c>
      <c r="E7" s="17">
        <f>E8*E9*E10</f>
        <v>0</v>
      </c>
      <c r="F7" s="33" t="s">
        <v>286</v>
      </c>
      <c r="G7" s="94"/>
      <c r="H7" s="94"/>
    </row>
    <row r="8" spans="1:8" ht="45">
      <c r="A8" s="35" t="s">
        <v>22</v>
      </c>
      <c r="B8" s="16" t="s">
        <v>23</v>
      </c>
      <c r="C8" s="15" t="s">
        <v>24</v>
      </c>
      <c r="D8" s="31" t="s">
        <v>21</v>
      </c>
      <c r="E8" s="87"/>
      <c r="F8" s="88"/>
      <c r="G8" s="94"/>
      <c r="H8" s="94"/>
    </row>
    <row r="9" spans="1:8" ht="45">
      <c r="A9" s="30" t="s">
        <v>25</v>
      </c>
      <c r="B9" s="37" t="s">
        <v>26</v>
      </c>
      <c r="C9" s="38" t="s">
        <v>27</v>
      </c>
      <c r="D9" s="31" t="s">
        <v>12</v>
      </c>
      <c r="E9" s="39">
        <v>1.1499999999999999</v>
      </c>
      <c r="F9" s="33" t="s">
        <v>271</v>
      </c>
      <c r="G9" s="94"/>
      <c r="H9" s="94"/>
    </row>
    <row r="10" spans="1:8" ht="45">
      <c r="A10" s="30" t="s">
        <v>28</v>
      </c>
      <c r="B10" s="37" t="s">
        <v>29</v>
      </c>
      <c r="C10" s="38" t="s">
        <v>30</v>
      </c>
      <c r="D10" s="31" t="s">
        <v>12</v>
      </c>
      <c r="E10" s="39">
        <v>1</v>
      </c>
      <c r="F10" s="33" t="s">
        <v>31</v>
      </c>
      <c r="G10" s="94"/>
      <c r="H10" s="94"/>
    </row>
    <row r="11" spans="1:8" ht="30">
      <c r="A11" s="30" t="s">
        <v>32</v>
      </c>
      <c r="B11" s="16" t="s">
        <v>33</v>
      </c>
      <c r="C11" s="15" t="s">
        <v>34</v>
      </c>
      <c r="D11" s="31" t="s">
        <v>8</v>
      </c>
      <c r="E11" s="103"/>
      <c r="F11" s="88" t="s">
        <v>285</v>
      </c>
      <c r="G11" s="94"/>
      <c r="H11" s="94"/>
    </row>
    <row r="12" spans="1:8" ht="75">
      <c r="A12" s="30" t="s">
        <v>35</v>
      </c>
      <c r="B12" s="40" t="s">
        <v>272</v>
      </c>
      <c r="C12" s="15" t="s">
        <v>36</v>
      </c>
      <c r="D12" s="31" t="s">
        <v>182</v>
      </c>
      <c r="E12" s="39">
        <v>1.06</v>
      </c>
      <c r="F12" s="33"/>
      <c r="G12" s="94"/>
      <c r="H12" s="94"/>
    </row>
    <row r="13" spans="1:8" ht="30">
      <c r="A13" s="30" t="s">
        <v>37</v>
      </c>
      <c r="B13" s="16" t="s">
        <v>38</v>
      </c>
      <c r="C13" s="15" t="s">
        <v>39</v>
      </c>
      <c r="D13" s="15" t="s">
        <v>182</v>
      </c>
      <c r="E13" s="104">
        <v>1.0389999999999999</v>
      </c>
      <c r="F13" s="33" t="s">
        <v>40</v>
      </c>
      <c r="G13" s="94"/>
      <c r="H13" s="94"/>
    </row>
    <row r="14" spans="1:8">
      <c r="A14" s="34" t="s">
        <v>41</v>
      </c>
      <c r="B14" s="16" t="s">
        <v>18</v>
      </c>
      <c r="C14" s="15" t="s">
        <v>17</v>
      </c>
      <c r="D14" s="31" t="s">
        <v>19</v>
      </c>
      <c r="E14" s="103"/>
      <c r="F14" s="88" t="s">
        <v>285</v>
      </c>
      <c r="G14" s="94"/>
      <c r="H14" s="94"/>
    </row>
    <row r="15" spans="1:8" ht="30.75" thickBot="1">
      <c r="A15" s="41" t="s">
        <v>42</v>
      </c>
      <c r="B15" s="42" t="s">
        <v>241</v>
      </c>
      <c r="C15" s="43" t="s">
        <v>207</v>
      </c>
      <c r="D15" s="52" t="s">
        <v>8</v>
      </c>
      <c r="E15" s="44">
        <v>1772</v>
      </c>
      <c r="F15" s="45"/>
      <c r="G15" s="94"/>
      <c r="H15" s="94"/>
    </row>
    <row r="16" spans="1:8" ht="17.25" thickBot="1">
      <c r="A16" s="46" t="s">
        <v>45</v>
      </c>
      <c r="B16" s="158" t="s">
        <v>276</v>
      </c>
      <c r="C16" s="159"/>
      <c r="D16" s="159"/>
      <c r="E16" s="159"/>
      <c r="F16" s="160"/>
      <c r="G16" s="94"/>
      <c r="H16" s="94"/>
    </row>
    <row r="17" spans="1:8" ht="60">
      <c r="A17" s="25">
        <v>2</v>
      </c>
      <c r="B17" s="47" t="s">
        <v>46</v>
      </c>
      <c r="C17" s="27" t="s">
        <v>208</v>
      </c>
      <c r="D17" s="28" t="s">
        <v>11</v>
      </c>
      <c r="E17" s="115" t="e">
        <f>E5*E18</f>
        <v>#DIV/0!</v>
      </c>
      <c r="F17" s="116" t="s">
        <v>307</v>
      </c>
      <c r="G17" s="117" t="s">
        <v>309</v>
      </c>
      <c r="H17" s="94"/>
    </row>
    <row r="18" spans="1:8" ht="135.75" thickBot="1">
      <c r="A18" s="48" t="s">
        <v>308</v>
      </c>
      <c r="B18" s="16" t="s">
        <v>273</v>
      </c>
      <c r="C18" s="15" t="s">
        <v>243</v>
      </c>
      <c r="D18" s="31" t="s">
        <v>182</v>
      </c>
      <c r="E18" s="83"/>
      <c r="F18" s="88" t="s">
        <v>242</v>
      </c>
      <c r="G18" s="94"/>
      <c r="H18" s="94"/>
    </row>
    <row r="19" spans="1:8" ht="16.5">
      <c r="A19" s="49" t="s">
        <v>48</v>
      </c>
      <c r="B19" s="152" t="s">
        <v>277</v>
      </c>
      <c r="C19" s="153"/>
      <c r="D19" s="153"/>
      <c r="E19" s="153"/>
      <c r="F19" s="154"/>
      <c r="G19" s="94"/>
      <c r="H19" s="94"/>
    </row>
    <row r="20" spans="1:8" ht="30">
      <c r="A20" s="18">
        <v>3</v>
      </c>
      <c r="B20" s="16" t="s">
        <v>49</v>
      </c>
      <c r="C20" s="15" t="s">
        <v>50</v>
      </c>
      <c r="D20" s="31" t="s">
        <v>11</v>
      </c>
      <c r="E20" s="50" t="e">
        <f>SUM(E21+E22)*(E23/100)</f>
        <v>#DIV/0!</v>
      </c>
      <c r="F20" s="19" t="s">
        <v>244</v>
      </c>
      <c r="G20" s="94"/>
      <c r="H20" s="94"/>
    </row>
    <row r="21" spans="1:8" ht="30">
      <c r="A21" s="18" t="s">
        <v>51</v>
      </c>
      <c r="B21" s="16" t="s">
        <v>52</v>
      </c>
      <c r="C21" s="15" t="s">
        <v>10</v>
      </c>
      <c r="D21" s="31" t="s">
        <v>11</v>
      </c>
      <c r="E21" s="39" t="e">
        <f>SUM(E5)</f>
        <v>#DIV/0!</v>
      </c>
      <c r="F21" s="51"/>
      <c r="G21" s="94"/>
      <c r="H21" s="94"/>
    </row>
    <row r="22" spans="1:8" ht="30">
      <c r="A22" s="18" t="s">
        <v>53</v>
      </c>
      <c r="B22" s="16" t="s">
        <v>46</v>
      </c>
      <c r="C22" s="15" t="s">
        <v>47</v>
      </c>
      <c r="D22" s="31" t="s">
        <v>11</v>
      </c>
      <c r="E22" s="39" t="e">
        <f>SUM(E17)</f>
        <v>#DIV/0!</v>
      </c>
      <c r="F22" s="51"/>
      <c r="G22" s="94"/>
      <c r="H22" s="94"/>
    </row>
    <row r="23" spans="1:8" ht="30.75" thickBot="1">
      <c r="A23" s="41" t="s">
        <v>54</v>
      </c>
      <c r="B23" s="42" t="s">
        <v>280</v>
      </c>
      <c r="C23" s="43" t="s">
        <v>56</v>
      </c>
      <c r="D23" s="52" t="s">
        <v>57</v>
      </c>
      <c r="E23" s="53">
        <v>30.2</v>
      </c>
      <c r="F23" s="54" t="s">
        <v>58</v>
      </c>
      <c r="G23" s="94"/>
      <c r="H23" s="94"/>
    </row>
    <row r="24" spans="1:8" ht="16.5">
      <c r="A24" s="55" t="s">
        <v>59</v>
      </c>
      <c r="B24" s="161" t="s">
        <v>278</v>
      </c>
      <c r="C24" s="162"/>
      <c r="D24" s="162"/>
      <c r="E24" s="162"/>
      <c r="F24" s="163"/>
      <c r="G24" s="94"/>
      <c r="H24" s="94"/>
    </row>
    <row r="25" spans="1:8" ht="30">
      <c r="A25" s="18">
        <v>4</v>
      </c>
      <c r="B25" s="56" t="s">
        <v>60</v>
      </c>
      <c r="C25" s="57" t="s">
        <v>61</v>
      </c>
      <c r="D25" s="58" t="s">
        <v>11</v>
      </c>
      <c r="E25" s="59" t="e">
        <f>E26*((E27/100)*(1+0.01*E28)+((E29/E30)*(E31/12)))*E32</f>
        <v>#DIV/0!</v>
      </c>
      <c r="F25" s="60" t="s">
        <v>245</v>
      </c>
      <c r="G25" s="94"/>
      <c r="H25" s="94"/>
    </row>
    <row r="26" spans="1:8">
      <c r="A26" s="61" t="s">
        <v>62</v>
      </c>
      <c r="B26" s="16" t="s">
        <v>63</v>
      </c>
      <c r="C26" s="15" t="s">
        <v>64</v>
      </c>
      <c r="D26" s="31" t="s">
        <v>21</v>
      </c>
      <c r="E26" s="87"/>
      <c r="F26" s="85"/>
      <c r="G26" s="94"/>
      <c r="H26" s="94"/>
    </row>
    <row r="27" spans="1:8" ht="120">
      <c r="A27" s="61" t="s">
        <v>65</v>
      </c>
      <c r="B27" s="16" t="s">
        <v>279</v>
      </c>
      <c r="C27" s="15" t="s">
        <v>246</v>
      </c>
      <c r="D27" s="31" t="s">
        <v>66</v>
      </c>
      <c r="E27" s="91"/>
      <c r="F27" s="85" t="s">
        <v>293</v>
      </c>
      <c r="G27" s="94"/>
      <c r="H27" s="94"/>
    </row>
    <row r="28" spans="1:8" ht="150">
      <c r="A28" s="61" t="s">
        <v>67</v>
      </c>
      <c r="B28" s="16" t="s">
        <v>68</v>
      </c>
      <c r="C28" s="15" t="s">
        <v>69</v>
      </c>
      <c r="D28" s="31" t="s">
        <v>57</v>
      </c>
      <c r="E28" s="36">
        <v>10</v>
      </c>
      <c r="F28" s="19" t="s">
        <v>70</v>
      </c>
      <c r="G28" s="94"/>
      <c r="H28" s="94"/>
    </row>
    <row r="29" spans="1:8" ht="60">
      <c r="A29" s="61" t="s">
        <v>71</v>
      </c>
      <c r="B29" s="16" t="s">
        <v>72</v>
      </c>
      <c r="C29" s="62" t="s">
        <v>247</v>
      </c>
      <c r="D29" s="31" t="s">
        <v>73</v>
      </c>
      <c r="E29" s="105">
        <v>0</v>
      </c>
      <c r="F29" s="19" t="s">
        <v>297</v>
      </c>
      <c r="G29" s="94"/>
      <c r="H29" s="94"/>
    </row>
    <row r="30" spans="1:8" ht="30">
      <c r="A30" s="61" t="s">
        <v>74</v>
      </c>
      <c r="B30" s="16" t="s">
        <v>75</v>
      </c>
      <c r="C30" s="62" t="s">
        <v>76</v>
      </c>
      <c r="D30" s="31" t="s">
        <v>77</v>
      </c>
      <c r="E30" s="106"/>
      <c r="F30" s="88"/>
      <c r="G30" s="94"/>
      <c r="H30" s="94"/>
    </row>
    <row r="31" spans="1:8" ht="45">
      <c r="A31" s="61" t="s">
        <v>78</v>
      </c>
      <c r="B31" s="16" t="s">
        <v>79</v>
      </c>
      <c r="C31" s="62" t="s">
        <v>80</v>
      </c>
      <c r="D31" s="31" t="s">
        <v>220</v>
      </c>
      <c r="E31" s="107"/>
      <c r="F31" s="88"/>
      <c r="G31" s="94"/>
      <c r="H31" s="94"/>
    </row>
    <row r="32" spans="1:8" ht="30">
      <c r="A32" s="61" t="s">
        <v>81</v>
      </c>
      <c r="B32" s="16" t="s">
        <v>82</v>
      </c>
      <c r="C32" s="15" t="s">
        <v>83</v>
      </c>
      <c r="D32" s="15" t="s">
        <v>182</v>
      </c>
      <c r="E32" s="104">
        <v>1.0409999999999999</v>
      </c>
      <c r="F32" s="63" t="s">
        <v>218</v>
      </c>
      <c r="G32" s="94"/>
      <c r="H32" s="94"/>
    </row>
    <row r="33" spans="1:8" ht="16.5">
      <c r="A33" s="18" t="s">
        <v>84</v>
      </c>
      <c r="B33" s="164" t="s">
        <v>281</v>
      </c>
      <c r="C33" s="165"/>
      <c r="D33" s="165"/>
      <c r="E33" s="165"/>
      <c r="F33" s="166"/>
      <c r="G33" s="94"/>
      <c r="H33" s="94"/>
    </row>
    <row r="34" spans="1:8" ht="30">
      <c r="A34" s="18">
        <v>5</v>
      </c>
      <c r="B34" s="16" t="s">
        <v>85</v>
      </c>
      <c r="C34" s="15" t="s">
        <v>86</v>
      </c>
      <c r="D34" s="58" t="s">
        <v>11</v>
      </c>
      <c r="E34" s="64" t="e">
        <f>0.075*E35</f>
        <v>#DIV/0!</v>
      </c>
      <c r="F34" s="19" t="s">
        <v>248</v>
      </c>
      <c r="G34" s="94"/>
      <c r="H34" s="94"/>
    </row>
    <row r="35" spans="1:8" ht="17.25">
      <c r="A35" s="18" t="s">
        <v>87</v>
      </c>
      <c r="B35" s="56" t="s">
        <v>60</v>
      </c>
      <c r="C35" s="57" t="s">
        <v>61</v>
      </c>
      <c r="D35" s="58" t="s">
        <v>11</v>
      </c>
      <c r="E35" s="65" t="e">
        <f>SUM(E25)</f>
        <v>#DIV/0!</v>
      </c>
      <c r="F35" s="51" t="s">
        <v>88</v>
      </c>
      <c r="G35" s="94"/>
      <c r="H35" s="94"/>
    </row>
    <row r="36" spans="1:8" ht="16.5">
      <c r="A36" s="18" t="s">
        <v>89</v>
      </c>
      <c r="B36" s="164" t="s">
        <v>282</v>
      </c>
      <c r="C36" s="165"/>
      <c r="D36" s="165"/>
      <c r="E36" s="165"/>
      <c r="F36" s="166"/>
      <c r="G36" s="94"/>
      <c r="H36" s="94"/>
    </row>
    <row r="37" spans="1:8" ht="17.25">
      <c r="A37" s="18">
        <v>6</v>
      </c>
      <c r="B37" s="16" t="s">
        <v>90</v>
      </c>
      <c r="C37" s="15" t="s">
        <v>91</v>
      </c>
      <c r="D37" s="31" t="s">
        <v>11</v>
      </c>
      <c r="E37" s="64">
        <f>E38*E39</f>
        <v>0.29204000000000002</v>
      </c>
      <c r="F37" s="19" t="s">
        <v>249</v>
      </c>
      <c r="G37" s="94"/>
      <c r="H37" s="94"/>
    </row>
    <row r="38" spans="1:8" ht="105">
      <c r="A38" s="18" t="s">
        <v>92</v>
      </c>
      <c r="B38" s="16" t="s">
        <v>93</v>
      </c>
      <c r="C38" s="15" t="s">
        <v>94</v>
      </c>
      <c r="D38" s="31" t="s">
        <v>16</v>
      </c>
      <c r="E38" s="39">
        <v>0.28000000000000003</v>
      </c>
      <c r="F38" s="19" t="s">
        <v>287</v>
      </c>
      <c r="G38" s="94"/>
      <c r="H38" s="94"/>
    </row>
    <row r="39" spans="1:8" ht="60">
      <c r="A39" s="18" t="s">
        <v>95</v>
      </c>
      <c r="B39" s="16" t="s">
        <v>96</v>
      </c>
      <c r="C39" s="15" t="s">
        <v>97</v>
      </c>
      <c r="D39" s="15" t="s">
        <v>16</v>
      </c>
      <c r="E39" s="104">
        <f>1.043</f>
        <v>1.0429999999999999</v>
      </c>
      <c r="F39" s="19" t="s">
        <v>98</v>
      </c>
      <c r="G39" s="94"/>
      <c r="H39" s="94"/>
    </row>
    <row r="40" spans="1:8" ht="16.5">
      <c r="A40" s="18" t="s">
        <v>99</v>
      </c>
      <c r="B40" s="148" t="s">
        <v>283</v>
      </c>
      <c r="C40" s="149"/>
      <c r="D40" s="149"/>
      <c r="E40" s="149"/>
      <c r="F40" s="150"/>
      <c r="G40" s="94"/>
      <c r="H40" s="94"/>
    </row>
    <row r="41" spans="1:8" ht="17.25">
      <c r="A41" s="18" t="s">
        <v>100</v>
      </c>
      <c r="B41" s="16" t="s">
        <v>101</v>
      </c>
      <c r="C41" s="15" t="s">
        <v>102</v>
      </c>
      <c r="D41" s="31" t="s">
        <v>11</v>
      </c>
      <c r="E41" s="64">
        <f>E42+E56</f>
        <v>4.1719999999999997</v>
      </c>
      <c r="F41" s="19" t="s">
        <v>250</v>
      </c>
      <c r="G41" s="94"/>
      <c r="H41" s="94"/>
    </row>
    <row r="42" spans="1:8" ht="30">
      <c r="A42" s="18" t="s">
        <v>103</v>
      </c>
      <c r="B42" s="16" t="s">
        <v>104</v>
      </c>
      <c r="C42" s="15" t="s">
        <v>105</v>
      </c>
      <c r="D42" s="31" t="s">
        <v>11</v>
      </c>
      <c r="E42" s="39">
        <f>(E44*(E47/E54))*E46*((E51/E45)+(E52*E53))*E43*(1+(E55/100))</f>
        <v>0</v>
      </c>
      <c r="F42" s="19" t="s">
        <v>251</v>
      </c>
      <c r="G42" s="94"/>
      <c r="H42" s="94"/>
    </row>
    <row r="43" spans="1:8" ht="45">
      <c r="A43" s="18" t="s">
        <v>106</v>
      </c>
      <c r="B43" s="66" t="s">
        <v>107</v>
      </c>
      <c r="C43" s="18">
        <v>1E-3</v>
      </c>
      <c r="D43" s="18" t="s">
        <v>16</v>
      </c>
      <c r="E43" s="18">
        <v>1E-3</v>
      </c>
      <c r="F43" s="67"/>
      <c r="G43" s="94"/>
      <c r="H43" s="94"/>
    </row>
    <row r="44" spans="1:8">
      <c r="A44" s="18" t="s">
        <v>108</v>
      </c>
      <c r="B44" s="16" t="s">
        <v>14</v>
      </c>
      <c r="C44" s="15">
        <v>12</v>
      </c>
      <c r="D44" s="31" t="s">
        <v>15</v>
      </c>
      <c r="E44" s="32">
        <v>12</v>
      </c>
      <c r="F44" s="67"/>
      <c r="G44" s="94"/>
      <c r="H44" s="94"/>
    </row>
    <row r="45" spans="1:8" ht="60">
      <c r="A45" s="18" t="s">
        <v>109</v>
      </c>
      <c r="B45" s="16" t="s">
        <v>253</v>
      </c>
      <c r="C45" s="15" t="s">
        <v>252</v>
      </c>
      <c r="D45" s="31" t="s">
        <v>182</v>
      </c>
      <c r="E45" s="39">
        <v>0.9</v>
      </c>
      <c r="F45" s="108" t="s">
        <v>254</v>
      </c>
      <c r="G45" s="94"/>
      <c r="H45" s="94"/>
    </row>
    <row r="46" spans="1:8" ht="30">
      <c r="A46" s="30" t="s">
        <v>110</v>
      </c>
      <c r="B46" s="16" t="s">
        <v>38</v>
      </c>
      <c r="C46" s="15" t="s">
        <v>39</v>
      </c>
      <c r="D46" s="15" t="s">
        <v>182</v>
      </c>
      <c r="E46" s="109">
        <f>E13</f>
        <v>1.0389999999999999</v>
      </c>
      <c r="F46" s="33" t="s">
        <v>40</v>
      </c>
      <c r="G46" s="94"/>
      <c r="H46" s="94"/>
    </row>
    <row r="47" spans="1:8" ht="30">
      <c r="A47" s="19" t="s">
        <v>111</v>
      </c>
      <c r="B47" s="66" t="s">
        <v>257</v>
      </c>
      <c r="C47" s="15" t="s">
        <v>112</v>
      </c>
      <c r="D47" s="31" t="s">
        <v>21</v>
      </c>
      <c r="E47" s="17">
        <f>E48*E49*E50</f>
        <v>0</v>
      </c>
      <c r="F47" s="19" t="s">
        <v>113</v>
      </c>
      <c r="G47" s="94"/>
      <c r="H47" s="94"/>
    </row>
    <row r="48" spans="1:8" ht="75">
      <c r="A48" s="18" t="s">
        <v>114</v>
      </c>
      <c r="B48" s="16" t="s">
        <v>115</v>
      </c>
      <c r="C48" s="15" t="s">
        <v>24</v>
      </c>
      <c r="D48" s="31" t="s">
        <v>21</v>
      </c>
      <c r="E48" s="36">
        <f>E8</f>
        <v>0</v>
      </c>
      <c r="F48" s="33"/>
      <c r="G48" s="94"/>
      <c r="H48" s="94"/>
    </row>
    <row r="49" spans="1:8" ht="45">
      <c r="A49" s="18" t="s">
        <v>116</v>
      </c>
      <c r="B49" s="66" t="s">
        <v>284</v>
      </c>
      <c r="C49" s="15" t="s">
        <v>217</v>
      </c>
      <c r="D49" s="15" t="s">
        <v>182</v>
      </c>
      <c r="E49" s="39">
        <v>1</v>
      </c>
      <c r="F49" s="19"/>
      <c r="G49" s="94"/>
      <c r="H49" s="94"/>
    </row>
    <row r="50" spans="1:8" ht="45">
      <c r="A50" s="18" t="s">
        <v>117</v>
      </c>
      <c r="B50" s="68" t="s">
        <v>29</v>
      </c>
      <c r="C50" s="38" t="s">
        <v>30</v>
      </c>
      <c r="D50" s="31" t="s">
        <v>12</v>
      </c>
      <c r="E50" s="39">
        <v>1</v>
      </c>
      <c r="F50" s="33" t="s">
        <v>31</v>
      </c>
      <c r="G50" s="94"/>
      <c r="H50" s="94"/>
    </row>
    <row r="51" spans="1:8" ht="105">
      <c r="A51" s="18" t="s">
        <v>118</v>
      </c>
      <c r="B51" s="16" t="s">
        <v>119</v>
      </c>
      <c r="C51" s="15" t="s">
        <v>120</v>
      </c>
      <c r="D51" s="15" t="s">
        <v>16</v>
      </c>
      <c r="E51" s="39">
        <v>8</v>
      </c>
      <c r="F51" s="19" t="s">
        <v>288</v>
      </c>
      <c r="G51" s="94"/>
      <c r="H51" s="94"/>
    </row>
    <row r="52" spans="1:8" ht="105">
      <c r="A52" s="18" t="s">
        <v>122</v>
      </c>
      <c r="B52" s="16" t="s">
        <v>123</v>
      </c>
      <c r="C52" s="15" t="s">
        <v>124</v>
      </c>
      <c r="D52" s="15" t="s">
        <v>16</v>
      </c>
      <c r="E52" s="18">
        <v>6.4</v>
      </c>
      <c r="F52" s="19" t="s">
        <v>289</v>
      </c>
      <c r="G52" s="94"/>
      <c r="H52" s="94"/>
    </row>
    <row r="53" spans="1:8" ht="45">
      <c r="A53" s="18" t="s">
        <v>125</v>
      </c>
      <c r="B53" s="16" t="s">
        <v>256</v>
      </c>
      <c r="C53" s="20" t="s">
        <v>255</v>
      </c>
      <c r="D53" s="15" t="s">
        <v>16</v>
      </c>
      <c r="E53" s="39">
        <f>SUM('КЗп, КЗ, КЗЧ'!C4)</f>
        <v>1.2</v>
      </c>
      <c r="F53" s="19" t="s">
        <v>254</v>
      </c>
      <c r="G53" s="94"/>
      <c r="H53" s="94"/>
    </row>
    <row r="54" spans="1:8" ht="30">
      <c r="A54" s="18" t="s">
        <v>126</v>
      </c>
      <c r="B54" s="16" t="s">
        <v>43</v>
      </c>
      <c r="C54" s="15" t="s">
        <v>44</v>
      </c>
      <c r="D54" s="15" t="s">
        <v>8</v>
      </c>
      <c r="E54" s="12">
        <v>1812</v>
      </c>
      <c r="F54" s="19"/>
      <c r="G54" s="94"/>
      <c r="H54" s="94"/>
    </row>
    <row r="55" spans="1:8" ht="30">
      <c r="A55" s="18" t="s">
        <v>127</v>
      </c>
      <c r="B55" s="16" t="s">
        <v>55</v>
      </c>
      <c r="C55" s="15" t="s">
        <v>56</v>
      </c>
      <c r="D55" s="31" t="s">
        <v>57</v>
      </c>
      <c r="E55" s="69">
        <v>30.2</v>
      </c>
      <c r="F55" s="19" t="s">
        <v>58</v>
      </c>
      <c r="G55" s="94"/>
      <c r="H55" s="94"/>
    </row>
    <row r="56" spans="1:8" ht="45">
      <c r="A56" s="18" t="s">
        <v>128</v>
      </c>
      <c r="B56" s="16" t="s">
        <v>129</v>
      </c>
      <c r="C56" s="15" t="s">
        <v>130</v>
      </c>
      <c r="D56" s="31" t="s">
        <v>11</v>
      </c>
      <c r="E56" s="39">
        <f>E57*E58*E59</f>
        <v>4.1719999999999997</v>
      </c>
      <c r="F56" s="19" t="s">
        <v>259</v>
      </c>
      <c r="G56" s="94"/>
      <c r="H56" s="94"/>
    </row>
    <row r="57" spans="1:8" ht="90">
      <c r="A57" s="18" t="s">
        <v>131</v>
      </c>
      <c r="B57" s="16" t="s">
        <v>132</v>
      </c>
      <c r="C57" s="15" t="s">
        <v>133</v>
      </c>
      <c r="D57" s="15" t="s">
        <v>182</v>
      </c>
      <c r="E57" s="39">
        <v>3.2</v>
      </c>
      <c r="F57" s="19" t="s">
        <v>290</v>
      </c>
      <c r="G57" s="94"/>
      <c r="H57" s="94"/>
    </row>
    <row r="58" spans="1:8" ht="45">
      <c r="A58" s="18" t="s">
        <v>134</v>
      </c>
      <c r="B58" s="16" t="s">
        <v>258</v>
      </c>
      <c r="C58" s="15" t="s">
        <v>135</v>
      </c>
      <c r="D58" s="15" t="s">
        <v>182</v>
      </c>
      <c r="E58" s="39">
        <f>SUM('КЗп, КЗ, КЗЧ'!D4)</f>
        <v>1.25</v>
      </c>
      <c r="F58" s="19" t="s">
        <v>121</v>
      </c>
      <c r="G58" s="94"/>
      <c r="H58" s="94"/>
    </row>
    <row r="59" spans="1:8" ht="60">
      <c r="A59" s="18" t="s">
        <v>134</v>
      </c>
      <c r="B59" s="16" t="s">
        <v>96</v>
      </c>
      <c r="C59" s="15" t="s">
        <v>97</v>
      </c>
      <c r="D59" s="15" t="s">
        <v>16</v>
      </c>
      <c r="E59" s="89">
        <f>E39</f>
        <v>1.0429999999999999</v>
      </c>
      <c r="F59" s="85" t="s">
        <v>136</v>
      </c>
      <c r="G59" s="94"/>
      <c r="H59" s="94"/>
    </row>
    <row r="60" spans="1:8" ht="16.5">
      <c r="A60" s="70" t="s">
        <v>137</v>
      </c>
      <c r="B60" s="167" t="s">
        <v>138</v>
      </c>
      <c r="C60" s="168"/>
      <c r="D60" s="168"/>
      <c r="E60" s="168"/>
      <c r="F60" s="168"/>
      <c r="G60" s="94"/>
      <c r="H60" s="94"/>
    </row>
    <row r="61" spans="1:8" ht="45">
      <c r="A61" s="18">
        <v>8</v>
      </c>
      <c r="B61" s="63" t="s">
        <v>139</v>
      </c>
      <c r="C61" s="71" t="s">
        <v>140</v>
      </c>
      <c r="D61" s="72" t="s">
        <v>11</v>
      </c>
      <c r="E61" s="50" t="e">
        <f>E62*(E63+E64+E65+E66)</f>
        <v>#DIV/0!</v>
      </c>
      <c r="F61" s="19" t="s">
        <v>260</v>
      </c>
      <c r="G61" s="94"/>
      <c r="H61" s="94"/>
    </row>
    <row r="62" spans="1:8" ht="45">
      <c r="A62" s="18" t="s">
        <v>141</v>
      </c>
      <c r="B62" s="37" t="s">
        <v>142</v>
      </c>
      <c r="C62" s="73" t="s">
        <v>143</v>
      </c>
      <c r="D62" s="74" t="s">
        <v>144</v>
      </c>
      <c r="E62" s="86"/>
      <c r="F62" s="85" t="s">
        <v>145</v>
      </c>
      <c r="G62" s="94"/>
      <c r="H62" s="94"/>
    </row>
    <row r="63" spans="1:8" ht="17.25">
      <c r="A63" s="18" t="s">
        <v>146</v>
      </c>
      <c r="B63" s="56" t="s">
        <v>60</v>
      </c>
      <c r="C63" s="57" t="s">
        <v>61</v>
      </c>
      <c r="D63" s="58" t="s">
        <v>11</v>
      </c>
      <c r="E63" s="75" t="e">
        <f>E35</f>
        <v>#DIV/0!</v>
      </c>
      <c r="F63" s="76"/>
      <c r="G63" s="94"/>
      <c r="H63" s="94"/>
    </row>
    <row r="64" spans="1:8" ht="30">
      <c r="A64" s="18" t="s">
        <v>147</v>
      </c>
      <c r="B64" s="16" t="s">
        <v>85</v>
      </c>
      <c r="C64" s="15" t="s">
        <v>86</v>
      </c>
      <c r="D64" s="58" t="s">
        <v>11</v>
      </c>
      <c r="E64" s="77" t="e">
        <f>E34</f>
        <v>#DIV/0!</v>
      </c>
      <c r="F64" s="78"/>
      <c r="G64" s="94"/>
      <c r="H64" s="94"/>
    </row>
    <row r="65" spans="1:8" ht="17.25">
      <c r="A65" s="21" t="s">
        <v>148</v>
      </c>
      <c r="B65" s="16" t="s">
        <v>90</v>
      </c>
      <c r="C65" s="15" t="s">
        <v>91</v>
      </c>
      <c r="D65" s="31" t="s">
        <v>11</v>
      </c>
      <c r="E65" s="77">
        <f>E37</f>
        <v>0.29204000000000002</v>
      </c>
      <c r="F65" s="78"/>
      <c r="G65" s="94"/>
      <c r="H65" s="94"/>
    </row>
    <row r="66" spans="1:8" ht="17.25">
      <c r="A66" s="21" t="s">
        <v>149</v>
      </c>
      <c r="B66" s="16" t="s">
        <v>101</v>
      </c>
      <c r="C66" s="15" t="s">
        <v>102</v>
      </c>
      <c r="D66" s="31" t="s">
        <v>11</v>
      </c>
      <c r="E66" s="77">
        <f>E41</f>
        <v>4.1719999999999997</v>
      </c>
      <c r="F66" s="78"/>
      <c r="G66" s="94"/>
      <c r="H66" s="94"/>
    </row>
    <row r="67" spans="1:8" ht="16.5">
      <c r="A67" s="21" t="s">
        <v>150</v>
      </c>
      <c r="B67" s="148" t="s">
        <v>151</v>
      </c>
      <c r="C67" s="149"/>
      <c r="D67" s="149"/>
      <c r="E67" s="149"/>
      <c r="F67" s="150"/>
      <c r="G67" s="94"/>
      <c r="H67" s="94"/>
    </row>
    <row r="68" spans="1:8" ht="31.5">
      <c r="A68" s="18">
        <v>9</v>
      </c>
      <c r="B68" s="16" t="s">
        <v>152</v>
      </c>
      <c r="C68" s="15" t="s">
        <v>153</v>
      </c>
      <c r="D68" s="31" t="s">
        <v>11</v>
      </c>
      <c r="E68" s="79" t="e">
        <f>E5+E17+E20+E25+E34+E37+E41+E61</f>
        <v>#DIV/0!</v>
      </c>
      <c r="F68" s="19" t="s">
        <v>154</v>
      </c>
      <c r="G68" s="94"/>
      <c r="H68" s="94"/>
    </row>
    <row r="69" spans="1:8">
      <c r="A69" s="22"/>
      <c r="B69" s="22"/>
      <c r="C69" s="22"/>
      <c r="D69" s="22"/>
      <c r="E69" s="22"/>
      <c r="F69" s="22"/>
      <c r="G69" s="97"/>
      <c r="H69" s="97"/>
    </row>
    <row r="70" spans="1:8" ht="19.5">
      <c r="A70" s="151" t="s">
        <v>155</v>
      </c>
      <c r="B70" s="151"/>
      <c r="C70" s="151"/>
      <c r="D70" s="151"/>
      <c r="E70" s="151"/>
      <c r="F70" s="151"/>
      <c r="G70" s="97"/>
      <c r="H70" s="97"/>
    </row>
    <row r="71" spans="1:8">
      <c r="A71" s="23"/>
      <c r="B71" s="23"/>
      <c r="C71" s="23"/>
      <c r="D71" s="23"/>
      <c r="E71" s="23"/>
      <c r="F71" s="23"/>
      <c r="G71" s="97"/>
      <c r="H71" s="97"/>
    </row>
    <row r="72" spans="1:8" ht="30">
      <c r="A72" s="18">
        <v>10</v>
      </c>
      <c r="B72" s="16" t="s">
        <v>156</v>
      </c>
      <c r="C72" s="20" t="s">
        <v>157</v>
      </c>
      <c r="D72" s="31" t="s">
        <v>21</v>
      </c>
      <c r="E72" s="17" t="e">
        <f>(E73*E74*E75/E76)+E78*E79*E77*E81*E82/(12*E80)</f>
        <v>#DIV/0!</v>
      </c>
      <c r="F72" s="19" t="s">
        <v>261</v>
      </c>
      <c r="G72" s="97"/>
      <c r="H72" s="97"/>
    </row>
    <row r="73" spans="1:8" ht="17.25">
      <c r="A73" s="80" t="s">
        <v>158</v>
      </c>
      <c r="B73" s="16" t="s">
        <v>159</v>
      </c>
      <c r="C73" s="15" t="s">
        <v>153</v>
      </c>
      <c r="D73" s="31" t="s">
        <v>11</v>
      </c>
      <c r="E73" s="17" t="e">
        <f>E68</f>
        <v>#DIV/0!</v>
      </c>
      <c r="F73" s="19" t="s">
        <v>12</v>
      </c>
      <c r="G73" s="97"/>
      <c r="H73" s="97"/>
    </row>
    <row r="74" spans="1:8" ht="30">
      <c r="A74" s="18" t="s">
        <v>160</v>
      </c>
      <c r="B74" s="16" t="s">
        <v>161</v>
      </c>
      <c r="C74" s="15" t="s">
        <v>262</v>
      </c>
      <c r="D74" s="31" t="s">
        <v>144</v>
      </c>
      <c r="E74" s="20">
        <v>1.0960000000000001</v>
      </c>
      <c r="F74" s="19" t="s">
        <v>16</v>
      </c>
      <c r="G74" s="97"/>
      <c r="H74" s="97"/>
    </row>
    <row r="75" spans="1:8" ht="30" customHeight="1">
      <c r="A75" s="18" t="s">
        <v>162</v>
      </c>
      <c r="B75" s="16" t="s">
        <v>18</v>
      </c>
      <c r="C75" s="15" t="s">
        <v>17</v>
      </c>
      <c r="D75" s="31" t="s">
        <v>19</v>
      </c>
      <c r="E75" s="103"/>
      <c r="F75" s="111" t="s">
        <v>291</v>
      </c>
      <c r="G75" s="97"/>
      <c r="H75" s="97"/>
    </row>
    <row r="76" spans="1:8" ht="45">
      <c r="A76" s="18" t="s">
        <v>163</v>
      </c>
      <c r="B76" s="16" t="s">
        <v>164</v>
      </c>
      <c r="C76" s="15" t="s">
        <v>165</v>
      </c>
      <c r="D76" s="31" t="s">
        <v>16</v>
      </c>
      <c r="E76" s="85"/>
      <c r="F76" s="111" t="s">
        <v>292</v>
      </c>
      <c r="G76" s="97"/>
      <c r="H76" s="97"/>
    </row>
    <row r="77" spans="1:8" ht="30">
      <c r="A77" s="80" t="s">
        <v>166</v>
      </c>
      <c r="B77" s="16" t="s">
        <v>265</v>
      </c>
      <c r="C77" s="15" t="s">
        <v>266</v>
      </c>
      <c r="D77" s="31" t="s">
        <v>182</v>
      </c>
      <c r="E77" s="81">
        <v>1</v>
      </c>
      <c r="F77" s="19" t="s">
        <v>267</v>
      </c>
      <c r="G77" s="97"/>
      <c r="H77" s="97"/>
    </row>
    <row r="78" spans="1:8" ht="30">
      <c r="A78" s="80" t="s">
        <v>167</v>
      </c>
      <c r="B78" s="16" t="s">
        <v>263</v>
      </c>
      <c r="C78" s="15" t="s">
        <v>168</v>
      </c>
      <c r="D78" s="31" t="s">
        <v>169</v>
      </c>
      <c r="E78" s="110"/>
      <c r="F78" s="85" t="s">
        <v>170</v>
      </c>
      <c r="G78" s="97"/>
      <c r="H78" s="97"/>
    </row>
    <row r="79" spans="1:8" ht="60">
      <c r="A79" s="80" t="s">
        <v>171</v>
      </c>
      <c r="B79" s="16" t="s">
        <v>172</v>
      </c>
      <c r="C79" s="15" t="s">
        <v>173</v>
      </c>
      <c r="D79" s="31" t="s">
        <v>21</v>
      </c>
      <c r="E79" s="112"/>
      <c r="F79" s="85" t="s">
        <v>174</v>
      </c>
      <c r="G79" s="97"/>
      <c r="H79" s="97"/>
    </row>
    <row r="80" spans="1:8" ht="30">
      <c r="A80" s="80" t="s">
        <v>175</v>
      </c>
      <c r="B80" s="16" t="s">
        <v>176</v>
      </c>
      <c r="C80" s="15" t="s">
        <v>177</v>
      </c>
      <c r="D80" s="31" t="s">
        <v>178</v>
      </c>
      <c r="E80" s="32">
        <v>5</v>
      </c>
      <c r="F80" s="19" t="s">
        <v>264</v>
      </c>
      <c r="G80" s="97"/>
      <c r="H80" s="97"/>
    </row>
    <row r="81" spans="1:8" ht="60">
      <c r="A81" s="80" t="s">
        <v>179</v>
      </c>
      <c r="B81" s="16" t="s">
        <v>180</v>
      </c>
      <c r="C81" s="15" t="s">
        <v>181</v>
      </c>
      <c r="D81" s="31" t="s">
        <v>182</v>
      </c>
      <c r="E81" s="65">
        <v>1.0429999999999999</v>
      </c>
      <c r="F81" s="19" t="s">
        <v>183</v>
      </c>
      <c r="G81" s="97"/>
      <c r="H81" s="97"/>
    </row>
    <row r="82" spans="1:8" ht="30">
      <c r="A82" s="82" t="s">
        <v>268</v>
      </c>
      <c r="B82" s="16" t="s">
        <v>184</v>
      </c>
      <c r="C82" s="15" t="s">
        <v>185</v>
      </c>
      <c r="D82" s="31" t="s">
        <v>219</v>
      </c>
      <c r="E82" s="110"/>
      <c r="F82" s="111" t="s">
        <v>291</v>
      </c>
      <c r="G82" s="97"/>
      <c r="H82" s="97"/>
    </row>
    <row r="83" spans="1:8" ht="60">
      <c r="A83" s="80" t="s">
        <v>298</v>
      </c>
      <c r="B83" s="16" t="s">
        <v>240</v>
      </c>
      <c r="C83" s="15" t="s">
        <v>239</v>
      </c>
      <c r="D83" s="31" t="s">
        <v>19</v>
      </c>
      <c r="E83" s="103"/>
      <c r="F83" s="85"/>
      <c r="G83" s="97"/>
      <c r="H83" s="97"/>
    </row>
    <row r="84" spans="1:8" ht="30" customHeight="1">
      <c r="A84" s="82" t="s">
        <v>299</v>
      </c>
      <c r="B84" s="19" t="s">
        <v>269</v>
      </c>
      <c r="C84" s="15" t="s">
        <v>186</v>
      </c>
      <c r="D84" s="31" t="s">
        <v>187</v>
      </c>
      <c r="E84" s="103"/>
      <c r="F84" s="85" t="s">
        <v>188</v>
      </c>
      <c r="G84" s="97"/>
      <c r="H84" s="97"/>
    </row>
    <row r="85" spans="1:8" ht="30" customHeight="1">
      <c r="A85" s="80" t="s">
        <v>300</v>
      </c>
      <c r="B85" s="19" t="s">
        <v>270</v>
      </c>
      <c r="C85" s="15" t="s">
        <v>189</v>
      </c>
      <c r="D85" s="31" t="s">
        <v>187</v>
      </c>
      <c r="E85" s="103"/>
      <c r="F85" s="85" t="s">
        <v>190</v>
      </c>
      <c r="G85" s="97"/>
      <c r="H85" s="97"/>
    </row>
    <row r="86" spans="1:8" ht="45.75" customHeight="1">
      <c r="A86" s="82" t="s">
        <v>301</v>
      </c>
      <c r="B86" s="19" t="s">
        <v>295</v>
      </c>
      <c r="C86" s="15" t="s">
        <v>191</v>
      </c>
      <c r="D86" s="31" t="s">
        <v>21</v>
      </c>
      <c r="E86" s="114"/>
      <c r="F86" s="85" t="s">
        <v>296</v>
      </c>
      <c r="G86" s="97"/>
      <c r="H86" s="97"/>
    </row>
    <row r="87" spans="1:8" ht="46.5" customHeight="1">
      <c r="A87" s="80" t="s">
        <v>302</v>
      </c>
      <c r="B87" s="18" t="s">
        <v>192</v>
      </c>
      <c r="C87" s="15" t="s">
        <v>193</v>
      </c>
      <c r="D87" s="15" t="s">
        <v>182</v>
      </c>
      <c r="E87" s="113">
        <v>1.038</v>
      </c>
      <c r="F87" s="84" t="s">
        <v>294</v>
      </c>
      <c r="G87" s="97"/>
      <c r="H87" s="97"/>
    </row>
    <row r="88" spans="1:8" ht="15.75" customHeight="1">
      <c r="A88" s="82" t="s">
        <v>303</v>
      </c>
      <c r="B88" s="18"/>
      <c r="C88" s="15" t="s">
        <v>231</v>
      </c>
      <c r="D88" s="31" t="s">
        <v>21</v>
      </c>
      <c r="E88" s="83">
        <v>0</v>
      </c>
      <c r="F88" s="84" t="s">
        <v>233</v>
      </c>
      <c r="G88" s="97"/>
      <c r="H88" s="97"/>
    </row>
    <row r="89" spans="1:8" ht="16.5" customHeight="1">
      <c r="A89" s="80" t="s">
        <v>304</v>
      </c>
      <c r="B89" s="18"/>
      <c r="C89" s="15" t="s">
        <v>232</v>
      </c>
      <c r="D89" s="31" t="s">
        <v>21</v>
      </c>
      <c r="E89" s="83">
        <v>0</v>
      </c>
      <c r="F89" s="84" t="s">
        <v>234</v>
      </c>
      <c r="G89" s="97"/>
      <c r="H89" s="97"/>
    </row>
    <row r="90" spans="1:8" ht="15" customHeight="1">
      <c r="A90" s="82" t="s">
        <v>305</v>
      </c>
      <c r="B90" s="18"/>
      <c r="C90" s="15" t="s">
        <v>236</v>
      </c>
      <c r="D90" s="31" t="s">
        <v>182</v>
      </c>
      <c r="E90" s="83">
        <v>1</v>
      </c>
      <c r="F90" s="84" t="s">
        <v>237</v>
      </c>
      <c r="G90" s="97"/>
      <c r="H90" s="97"/>
    </row>
    <row r="91" spans="1:8">
      <c r="A91" s="80" t="s">
        <v>306</v>
      </c>
      <c r="B91" s="18"/>
      <c r="C91" s="15" t="s">
        <v>194</v>
      </c>
      <c r="D91" s="15"/>
      <c r="E91" s="90" t="e">
        <f>(E72+E88)*E90-E89-E86</f>
        <v>#DIV/0!</v>
      </c>
      <c r="F91" s="19" t="s">
        <v>235</v>
      </c>
      <c r="G91" s="97"/>
      <c r="H91" s="97"/>
    </row>
    <row r="92" spans="1:8">
      <c r="A92" s="93"/>
      <c r="B92" s="93"/>
      <c r="C92" s="93"/>
      <c r="D92" s="93"/>
      <c r="E92" s="95"/>
      <c r="F92" s="96"/>
      <c r="G92" s="97"/>
      <c r="H92" s="97"/>
    </row>
    <row r="93" spans="1:8">
      <c r="A93" s="93"/>
      <c r="B93" s="93"/>
      <c r="C93" s="98"/>
      <c r="D93" s="98"/>
      <c r="E93" s="96"/>
      <c r="F93" s="99"/>
      <c r="G93" s="97"/>
      <c r="H93" s="97"/>
    </row>
    <row r="94" spans="1:8">
      <c r="A94" s="100"/>
      <c r="B94" s="100"/>
      <c r="C94" s="100"/>
      <c r="D94" s="100"/>
      <c r="E94" s="101"/>
      <c r="F94" s="102"/>
      <c r="G94" s="100"/>
      <c r="H94" s="100"/>
    </row>
  </sheetData>
  <mergeCells count="11">
    <mergeCell ref="B67:F67"/>
    <mergeCell ref="A70:F70"/>
    <mergeCell ref="B19:F19"/>
    <mergeCell ref="A1:F1"/>
    <mergeCell ref="B4:F4"/>
    <mergeCell ref="B16:F16"/>
    <mergeCell ref="B24:F24"/>
    <mergeCell ref="B33:F33"/>
    <mergeCell ref="B36:F36"/>
    <mergeCell ref="B40:F40"/>
    <mergeCell ref="B60:F6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Q22"/>
  <sheetViews>
    <sheetView workbookViewId="0">
      <selection activeCell="M16" sqref="M16"/>
    </sheetView>
  </sheetViews>
  <sheetFormatPr defaultRowHeight="15"/>
  <cols>
    <col min="1" max="1" width="3.42578125" customWidth="1"/>
    <col min="2" max="2" width="6.85546875" customWidth="1"/>
    <col min="3" max="3" width="19.5703125" customWidth="1"/>
    <col min="4" max="4" width="6.85546875" customWidth="1"/>
    <col min="5" max="5" width="17.140625" customWidth="1"/>
    <col min="6" max="6" width="7.42578125" customWidth="1"/>
    <col min="7" max="7" width="8.5703125" customWidth="1"/>
    <col min="8" max="8" width="7.28515625" customWidth="1"/>
    <col min="9" max="10" width="8.140625" customWidth="1"/>
    <col min="13" max="13" width="10.85546875" customWidth="1"/>
  </cols>
  <sheetData>
    <row r="1" spans="1:13">
      <c r="A1" s="171" t="s">
        <v>328</v>
      </c>
      <c r="B1" s="171"/>
      <c r="C1" s="171"/>
      <c r="D1" s="171"/>
      <c r="E1" s="171"/>
      <c r="F1" s="171"/>
      <c r="G1" s="171"/>
      <c r="H1" s="171"/>
      <c r="I1" s="171"/>
      <c r="J1" s="171"/>
      <c r="K1" s="171"/>
      <c r="L1" s="171"/>
    </row>
    <row r="3" spans="1:13" ht="39" customHeight="1">
      <c r="A3" s="172" t="s">
        <v>319</v>
      </c>
      <c r="B3" s="172" t="s">
        <v>343</v>
      </c>
      <c r="C3" s="172" t="s">
        <v>320</v>
      </c>
      <c r="D3" s="172" t="s">
        <v>339</v>
      </c>
      <c r="E3" s="172" t="s">
        <v>335</v>
      </c>
      <c r="F3" s="172" t="s">
        <v>336</v>
      </c>
      <c r="G3" s="174" t="s">
        <v>337</v>
      </c>
      <c r="H3" s="172" t="s">
        <v>338</v>
      </c>
      <c r="I3" s="172" t="s">
        <v>356</v>
      </c>
      <c r="J3" s="172" t="s">
        <v>332</v>
      </c>
      <c r="K3" s="172" t="s">
        <v>346</v>
      </c>
      <c r="L3" s="172" t="s">
        <v>329</v>
      </c>
      <c r="M3" s="169" t="s">
        <v>354</v>
      </c>
    </row>
    <row r="4" spans="1:13">
      <c r="A4" s="173"/>
      <c r="B4" s="173"/>
      <c r="C4" s="173"/>
      <c r="D4" s="173"/>
      <c r="E4" s="173"/>
      <c r="F4" s="173"/>
      <c r="G4" s="175"/>
      <c r="H4" s="173"/>
      <c r="I4" s="173"/>
      <c r="J4" s="173"/>
      <c r="K4" s="173"/>
      <c r="L4" s="173"/>
      <c r="M4" s="170"/>
    </row>
    <row r="5" spans="1:13">
      <c r="A5" s="129">
        <v>1</v>
      </c>
      <c r="B5" s="129">
        <v>2</v>
      </c>
      <c r="C5" s="129">
        <v>3</v>
      </c>
      <c r="D5" s="129">
        <v>4</v>
      </c>
      <c r="E5" s="129">
        <v>5</v>
      </c>
      <c r="F5" s="129">
        <v>6</v>
      </c>
      <c r="G5" s="129">
        <v>7</v>
      </c>
      <c r="H5" s="129">
        <v>8</v>
      </c>
      <c r="I5" s="129">
        <v>9</v>
      </c>
      <c r="J5" s="129">
        <v>10</v>
      </c>
      <c r="K5" s="129">
        <v>11</v>
      </c>
      <c r="L5" s="129">
        <v>12</v>
      </c>
      <c r="M5" s="141">
        <v>13</v>
      </c>
    </row>
    <row r="6" spans="1:13" ht="25.5">
      <c r="A6" s="129">
        <v>1</v>
      </c>
      <c r="B6" s="129">
        <v>121</v>
      </c>
      <c r="C6" s="129" t="s">
        <v>321</v>
      </c>
      <c r="D6" s="129" t="s">
        <v>340</v>
      </c>
      <c r="E6" s="139" t="e">
        <f>#REF!</f>
        <v>#REF!</v>
      </c>
      <c r="F6" s="130" t="s">
        <v>330</v>
      </c>
      <c r="G6" s="129">
        <v>14.2</v>
      </c>
      <c r="H6" s="129" t="s">
        <v>334</v>
      </c>
      <c r="I6" s="146">
        <v>24</v>
      </c>
      <c r="J6" s="129">
        <v>16</v>
      </c>
      <c r="K6" s="129">
        <f>20.3*2</f>
        <v>40.6</v>
      </c>
      <c r="L6" s="129">
        <f t="shared" ref="L6:L11" si="0">I6*K6</f>
        <v>974.40000000000009</v>
      </c>
      <c r="M6" s="140">
        <v>3</v>
      </c>
    </row>
    <row r="7" spans="1:13" ht="25.5">
      <c r="A7" s="129">
        <v>2</v>
      </c>
      <c r="B7" s="129">
        <v>122</v>
      </c>
      <c r="C7" s="129" t="s">
        <v>322</v>
      </c>
      <c r="D7" s="129" t="s">
        <v>340</v>
      </c>
      <c r="E7" s="130" t="e">
        <f>#REF!</f>
        <v>#REF!</v>
      </c>
      <c r="F7" s="130" t="s">
        <v>330</v>
      </c>
      <c r="G7" s="129">
        <v>14.2</v>
      </c>
      <c r="H7" s="129" t="s">
        <v>334</v>
      </c>
      <c r="I7" s="129">
        <v>16</v>
      </c>
      <c r="J7" s="129">
        <v>16</v>
      </c>
      <c r="K7" s="129">
        <f>48.8*2</f>
        <v>97.6</v>
      </c>
      <c r="L7" s="129">
        <f t="shared" si="0"/>
        <v>1561.6</v>
      </c>
      <c r="M7" s="140">
        <v>2</v>
      </c>
    </row>
    <row r="8" spans="1:13" ht="25.5">
      <c r="A8" s="129">
        <v>3</v>
      </c>
      <c r="B8" s="129">
        <v>500</v>
      </c>
      <c r="C8" s="129" t="s">
        <v>323</v>
      </c>
      <c r="D8" s="129" t="s">
        <v>341</v>
      </c>
      <c r="E8" s="130">
        <f>'500'!F94</f>
        <v>154784.00031433499</v>
      </c>
      <c r="F8" s="130" t="s">
        <v>330</v>
      </c>
      <c r="G8" s="129">
        <v>26.2</v>
      </c>
      <c r="H8" s="129" t="s">
        <v>331</v>
      </c>
      <c r="I8" s="129">
        <v>16</v>
      </c>
      <c r="J8" s="129">
        <v>29</v>
      </c>
      <c r="K8" s="129">
        <f>69.1*2</f>
        <v>138.19999999999999</v>
      </c>
      <c r="L8" s="129">
        <f t="shared" si="0"/>
        <v>2211.1999999999998</v>
      </c>
      <c r="M8" s="140">
        <v>4</v>
      </c>
    </row>
    <row r="9" spans="1:13" ht="25.5">
      <c r="A9" s="129">
        <v>4</v>
      </c>
      <c r="B9" s="129">
        <v>501</v>
      </c>
      <c r="C9" s="129" t="s">
        <v>324</v>
      </c>
      <c r="D9" s="129" t="s">
        <v>340</v>
      </c>
      <c r="E9" s="130" t="e">
        <f>#REF!</f>
        <v>#REF!</v>
      </c>
      <c r="F9" s="130" t="s">
        <v>333</v>
      </c>
      <c r="G9" s="129">
        <v>17</v>
      </c>
      <c r="H9" s="129" t="s">
        <v>334</v>
      </c>
      <c r="I9" s="129">
        <v>8</v>
      </c>
      <c r="J9" s="129">
        <v>12</v>
      </c>
      <c r="K9" s="129">
        <f>121*2</f>
        <v>242</v>
      </c>
      <c r="L9" s="129">
        <f t="shared" si="0"/>
        <v>1936</v>
      </c>
      <c r="M9" s="142">
        <v>2</v>
      </c>
    </row>
    <row r="10" spans="1:13" ht="25.5">
      <c r="A10" s="129">
        <v>5</v>
      </c>
      <c r="B10" s="129">
        <v>502</v>
      </c>
      <c r="C10" s="129" t="s">
        <v>325</v>
      </c>
      <c r="D10" s="129" t="s">
        <v>340</v>
      </c>
      <c r="E10" s="139" t="e">
        <f>#REF!</f>
        <v>#REF!</v>
      </c>
      <c r="F10" s="130" t="s">
        <v>333</v>
      </c>
      <c r="G10" s="129">
        <v>17</v>
      </c>
      <c r="H10" s="129" t="s">
        <v>334</v>
      </c>
      <c r="I10" s="146">
        <v>12</v>
      </c>
      <c r="J10" s="129">
        <v>12</v>
      </c>
      <c r="K10" s="129">
        <f>94.9*2</f>
        <v>189.8</v>
      </c>
      <c r="L10" s="129">
        <f t="shared" si="0"/>
        <v>2277.6000000000004</v>
      </c>
      <c r="M10" s="140">
        <v>2</v>
      </c>
    </row>
    <row r="11" spans="1:13" ht="25.5">
      <c r="A11" s="129">
        <v>6</v>
      </c>
      <c r="B11" s="129">
        <v>504</v>
      </c>
      <c r="C11" s="129" t="s">
        <v>326</v>
      </c>
      <c r="D11" s="129" t="s">
        <v>342</v>
      </c>
      <c r="E11" s="139" t="e">
        <f>#REF!</f>
        <v>#REF!</v>
      </c>
      <c r="F11" s="133" t="s">
        <v>330</v>
      </c>
      <c r="G11" s="129">
        <v>26.2</v>
      </c>
      <c r="H11" s="129" t="s">
        <v>331</v>
      </c>
      <c r="I11" s="129">
        <v>12</v>
      </c>
      <c r="J11" s="129">
        <v>30</v>
      </c>
      <c r="K11" s="129">
        <f>138.4*2</f>
        <v>276.8</v>
      </c>
      <c r="L11" s="145">
        <f t="shared" si="0"/>
        <v>3321.6000000000004</v>
      </c>
      <c r="M11" s="140">
        <v>3</v>
      </c>
    </row>
    <row r="12" spans="1:13">
      <c r="A12" s="134"/>
      <c r="B12" s="134"/>
      <c r="C12" s="135" t="s">
        <v>327</v>
      </c>
      <c r="D12" s="135"/>
      <c r="E12" s="138" t="e">
        <f>E6+E7+E8+E9+E10+E11</f>
        <v>#REF!</v>
      </c>
      <c r="F12" s="136"/>
      <c r="G12" s="137"/>
      <c r="H12" s="137"/>
      <c r="I12" s="137">
        <f>SUM(I5:I11)</f>
        <v>97</v>
      </c>
      <c r="J12" s="137"/>
      <c r="K12" s="128"/>
      <c r="L12" s="134">
        <f>SUM(L5:L11)</f>
        <v>12294.4</v>
      </c>
      <c r="M12" s="137"/>
    </row>
    <row r="13" spans="1:13">
      <c r="A13" s="125"/>
      <c r="B13" s="124"/>
      <c r="C13" s="125"/>
      <c r="D13" s="125"/>
      <c r="E13" s="125"/>
      <c r="F13" s="125"/>
      <c r="G13" s="125"/>
      <c r="H13" s="125"/>
      <c r="I13" s="125"/>
      <c r="J13" s="125"/>
      <c r="K13" s="125"/>
      <c r="L13" s="125"/>
      <c r="M13" s="125"/>
    </row>
    <row r="14" spans="1:13">
      <c r="A14" s="125"/>
      <c r="B14" s="131"/>
      <c r="C14" s="132"/>
      <c r="D14" s="125"/>
      <c r="E14" s="125"/>
      <c r="F14" s="125"/>
      <c r="G14" s="125"/>
      <c r="H14" s="125"/>
      <c r="I14" s="125"/>
      <c r="J14" s="125"/>
      <c r="K14" s="125"/>
      <c r="L14" s="125"/>
      <c r="M14" s="125"/>
    </row>
    <row r="15" spans="1:13">
      <c r="A15" s="125"/>
      <c r="B15" s="125"/>
      <c r="C15" s="125"/>
      <c r="D15" s="125"/>
      <c r="E15" s="125"/>
      <c r="F15" s="125"/>
      <c r="G15" s="125"/>
      <c r="H15" s="125"/>
      <c r="I15" s="125"/>
      <c r="J15" s="125"/>
      <c r="K15" s="125"/>
      <c r="L15" s="125"/>
      <c r="M15" s="125"/>
    </row>
    <row r="16" spans="1:13">
      <c r="A16" s="125"/>
      <c r="B16" s="125"/>
      <c r="C16" s="125"/>
      <c r="D16" s="125"/>
      <c r="E16" s="125"/>
      <c r="F16" s="125"/>
      <c r="G16" s="125"/>
      <c r="H16" s="125"/>
      <c r="I16" s="125"/>
      <c r="J16" s="125"/>
      <c r="K16" s="125"/>
      <c r="L16" s="125"/>
      <c r="M16" s="125"/>
    </row>
    <row r="17" spans="1:17">
      <c r="A17" s="125"/>
      <c r="B17" s="125"/>
      <c r="C17" s="125"/>
      <c r="D17" s="125"/>
      <c r="E17" s="125"/>
      <c r="F17" s="125"/>
      <c r="G17" s="125"/>
      <c r="H17" s="125"/>
      <c r="I17" s="125"/>
      <c r="J17" s="125"/>
      <c r="K17" s="125"/>
      <c r="L17" s="125"/>
      <c r="M17" s="125"/>
      <c r="Q17" t="s">
        <v>349</v>
      </c>
    </row>
    <row r="18" spans="1:17">
      <c r="A18" s="125"/>
      <c r="B18" s="125"/>
      <c r="C18" s="125"/>
      <c r="D18" s="125"/>
      <c r="E18" s="125"/>
      <c r="F18" s="125"/>
      <c r="G18" s="125"/>
      <c r="H18" s="125"/>
      <c r="I18" s="125"/>
      <c r="J18" s="125"/>
      <c r="K18" s="125"/>
      <c r="L18" s="125"/>
      <c r="M18" s="125"/>
    </row>
    <row r="19" spans="1:17">
      <c r="A19" s="125"/>
      <c r="B19" s="125"/>
      <c r="C19" s="125"/>
      <c r="D19" s="125"/>
      <c r="E19" s="125"/>
      <c r="F19" s="125"/>
      <c r="G19" s="125"/>
      <c r="H19" s="125"/>
      <c r="I19" s="125"/>
      <c r="J19" s="125"/>
      <c r="K19" s="125"/>
      <c r="L19" s="125"/>
      <c r="M19" s="125"/>
    </row>
    <row r="20" spans="1:17">
      <c r="A20" s="125"/>
      <c r="B20" s="125"/>
      <c r="C20" s="125"/>
      <c r="D20" s="125"/>
      <c r="E20" s="125"/>
      <c r="F20" s="125"/>
    </row>
    <row r="21" spans="1:17">
      <c r="A21" s="125"/>
      <c r="B21" s="125"/>
      <c r="C21" s="125"/>
      <c r="D21" s="125"/>
      <c r="E21" s="125"/>
      <c r="F21" s="125"/>
    </row>
    <row r="22" spans="1:17">
      <c r="A22" s="125"/>
      <c r="B22" s="125"/>
      <c r="C22" s="125"/>
      <c r="D22" s="125"/>
      <c r="E22" s="125"/>
      <c r="F22" s="125"/>
    </row>
  </sheetData>
  <mergeCells count="14">
    <mergeCell ref="M3:M4"/>
    <mergeCell ref="A1:L1"/>
    <mergeCell ref="L3:L4"/>
    <mergeCell ref="D3:D4"/>
    <mergeCell ref="A3:A4"/>
    <mergeCell ref="B3:B4"/>
    <mergeCell ref="C3:C4"/>
    <mergeCell ref="E3:E4"/>
    <mergeCell ref="F3:F4"/>
    <mergeCell ref="G3:G4"/>
    <mergeCell ref="H3:H4"/>
    <mergeCell ref="J3:J4"/>
    <mergeCell ref="I3:I4"/>
    <mergeCell ref="K3:K4"/>
  </mergeCells>
  <pageMargins left="0.70866141732283472" right="0.70866141732283472" top="0.74803149606299213" bottom="0.74803149606299213" header="0.31496062992125984" footer="0.31496062992125984"/>
  <pageSetup paperSize="9" scale="77" orientation="landscape" r:id="rId1"/>
</worksheet>
</file>

<file path=xl/worksheets/sheet3.xml><?xml version="1.0" encoding="utf-8"?>
<worksheet xmlns="http://schemas.openxmlformats.org/spreadsheetml/2006/main" xmlns:r="http://schemas.openxmlformats.org/officeDocument/2006/relationships">
  <dimension ref="B1:I97"/>
  <sheetViews>
    <sheetView tabSelected="1" zoomScale="80" zoomScaleNormal="80" workbookViewId="0">
      <selection activeCell="K7" sqref="K7"/>
    </sheetView>
  </sheetViews>
  <sheetFormatPr defaultRowHeight="15"/>
  <cols>
    <col min="2" max="2" width="11.42578125" customWidth="1"/>
    <col min="3" max="3" width="74.140625" customWidth="1"/>
    <col min="4" max="4" width="12.5703125" customWidth="1"/>
    <col min="6" max="6" width="16.42578125" customWidth="1"/>
    <col min="7" max="7" width="74" customWidth="1"/>
    <col min="8" max="8" width="52.140625" customWidth="1"/>
  </cols>
  <sheetData>
    <row r="1" spans="2:9" ht="57" customHeight="1">
      <c r="G1" s="180" t="s">
        <v>359</v>
      </c>
    </row>
    <row r="2" spans="2:9" ht="59.25" customHeight="1">
      <c r="B2" s="176" t="s">
        <v>357</v>
      </c>
      <c r="C2" s="176"/>
      <c r="D2" s="176"/>
      <c r="E2" s="176"/>
      <c r="F2" s="176"/>
      <c r="G2" s="176"/>
      <c r="H2" s="1"/>
      <c r="I2" s="1"/>
    </row>
    <row r="3" spans="2:9" ht="19.5">
      <c r="B3" s="118"/>
      <c r="C3" s="155" t="s">
        <v>312</v>
      </c>
      <c r="D3" s="155"/>
      <c r="E3" s="155"/>
      <c r="F3" s="155"/>
      <c r="G3" s="155"/>
      <c r="H3" s="1"/>
      <c r="I3" s="1"/>
    </row>
    <row r="4" spans="2:9" ht="15.75" thickBot="1">
      <c r="B4" s="1"/>
      <c r="C4" s="1"/>
      <c r="D4" s="1"/>
      <c r="E4" s="1"/>
      <c r="F4" s="1"/>
      <c r="G4" s="1"/>
      <c r="H4" s="1"/>
      <c r="I4" s="1"/>
    </row>
    <row r="5" spans="2:9" ht="30.75" thickBot="1">
      <c r="B5" s="13" t="s">
        <v>1</v>
      </c>
      <c r="C5" s="6" t="s">
        <v>2</v>
      </c>
      <c r="D5" s="6" t="s">
        <v>3</v>
      </c>
      <c r="E5" s="6" t="s">
        <v>4</v>
      </c>
      <c r="F5" s="6" t="s">
        <v>5</v>
      </c>
      <c r="G5" s="7" t="s">
        <v>6</v>
      </c>
      <c r="H5" s="94"/>
      <c r="I5" s="94"/>
    </row>
    <row r="6" spans="2:9" ht="17.25" thickBot="1">
      <c r="B6" s="24" t="s">
        <v>7</v>
      </c>
      <c r="C6" s="156" t="s">
        <v>275</v>
      </c>
      <c r="D6" s="156"/>
      <c r="E6" s="156"/>
      <c r="F6" s="156"/>
      <c r="G6" s="157"/>
      <c r="H6" s="94"/>
      <c r="I6" s="94"/>
    </row>
    <row r="7" spans="2:9" ht="17.25">
      <c r="B7" s="25">
        <v>1</v>
      </c>
      <c r="C7" s="26" t="s">
        <v>9</v>
      </c>
      <c r="D7" s="27" t="s">
        <v>10</v>
      </c>
      <c r="E7" s="28" t="s">
        <v>11</v>
      </c>
      <c r="F7" s="92">
        <f>((F8*F9)/F17)*F13*F14*(F15/F16)</f>
        <v>14.950069145090868</v>
      </c>
      <c r="G7" s="29" t="s">
        <v>238</v>
      </c>
      <c r="H7" s="94"/>
      <c r="I7" s="94"/>
    </row>
    <row r="8" spans="2:9">
      <c r="B8" s="30" t="s">
        <v>13</v>
      </c>
      <c r="C8" s="16" t="s">
        <v>14</v>
      </c>
      <c r="D8" s="15">
        <v>12</v>
      </c>
      <c r="E8" s="31" t="s">
        <v>15</v>
      </c>
      <c r="F8" s="32">
        <v>12</v>
      </c>
      <c r="G8" s="33"/>
      <c r="H8" s="94"/>
      <c r="I8" s="94"/>
    </row>
    <row r="9" spans="2:9">
      <c r="B9" s="34" t="s">
        <v>20</v>
      </c>
      <c r="C9" s="16" t="s">
        <v>274</v>
      </c>
      <c r="D9" s="15" t="s">
        <v>206</v>
      </c>
      <c r="E9" s="31" t="s">
        <v>21</v>
      </c>
      <c r="F9" s="17">
        <f>F10*F11*F12</f>
        <v>85738.624000000011</v>
      </c>
      <c r="G9" s="33" t="s">
        <v>286</v>
      </c>
      <c r="H9" s="94"/>
      <c r="I9" s="94"/>
    </row>
    <row r="10" spans="2:9" ht="24.6" customHeight="1">
      <c r="B10" s="35" t="s">
        <v>22</v>
      </c>
      <c r="C10" s="16" t="s">
        <v>23</v>
      </c>
      <c r="D10" s="15" t="s">
        <v>24</v>
      </c>
      <c r="E10" s="31" t="s">
        <v>21</v>
      </c>
      <c r="F10" s="87">
        <v>66983.3</v>
      </c>
      <c r="G10" s="88" t="s">
        <v>347</v>
      </c>
      <c r="H10" s="94"/>
      <c r="I10" s="94"/>
    </row>
    <row r="11" spans="2:9" ht="27.95" customHeight="1">
      <c r="B11" s="30" t="s">
        <v>25</v>
      </c>
      <c r="C11" s="37" t="s">
        <v>26</v>
      </c>
      <c r="D11" s="38" t="s">
        <v>27</v>
      </c>
      <c r="E11" s="31" t="s">
        <v>12</v>
      </c>
      <c r="F11" s="39">
        <v>1.28</v>
      </c>
      <c r="G11" s="33" t="s">
        <v>271</v>
      </c>
      <c r="H11" s="94"/>
      <c r="I11" s="94"/>
    </row>
    <row r="12" spans="2:9" ht="27.6" customHeight="1">
      <c r="B12" s="30" t="s">
        <v>28</v>
      </c>
      <c r="C12" s="37" t="s">
        <v>29</v>
      </c>
      <c r="D12" s="38" t="s">
        <v>30</v>
      </c>
      <c r="E12" s="31" t="s">
        <v>12</v>
      </c>
      <c r="F12" s="39">
        <v>1</v>
      </c>
      <c r="G12" s="33" t="s">
        <v>31</v>
      </c>
      <c r="H12" s="94"/>
      <c r="I12" s="94"/>
    </row>
    <row r="13" spans="2:9" ht="21.6" customHeight="1">
      <c r="B13" s="30" t="s">
        <v>32</v>
      </c>
      <c r="C13" s="16" t="s">
        <v>33</v>
      </c>
      <c r="D13" s="15" t="s">
        <v>34</v>
      </c>
      <c r="E13" s="31" t="s">
        <v>8</v>
      </c>
      <c r="F13" s="103">
        <v>570</v>
      </c>
      <c r="G13" s="88" t="s">
        <v>285</v>
      </c>
      <c r="H13" s="94"/>
      <c r="I13" s="94"/>
    </row>
    <row r="14" spans="2:9" ht="57" customHeight="1">
      <c r="B14" s="30" t="s">
        <v>35</v>
      </c>
      <c r="C14" s="40" t="s">
        <v>272</v>
      </c>
      <c r="D14" s="15" t="s">
        <v>36</v>
      </c>
      <c r="E14" s="31" t="s">
        <v>182</v>
      </c>
      <c r="F14" s="39">
        <v>1.06</v>
      </c>
      <c r="G14" s="33"/>
      <c r="H14" s="94"/>
      <c r="I14" s="94"/>
    </row>
    <row r="15" spans="2:9" ht="57" customHeight="1">
      <c r="B15" s="30" t="s">
        <v>37</v>
      </c>
      <c r="C15" s="16" t="s">
        <v>38</v>
      </c>
      <c r="D15" s="15" t="s">
        <v>39</v>
      </c>
      <c r="E15" s="15" t="s">
        <v>182</v>
      </c>
      <c r="F15" s="104">
        <v>1.119</v>
      </c>
      <c r="G15" s="33" t="s">
        <v>348</v>
      </c>
      <c r="H15" s="94"/>
      <c r="I15" s="94"/>
    </row>
    <row r="16" spans="2:9">
      <c r="B16" s="34" t="s">
        <v>41</v>
      </c>
      <c r="C16" s="16" t="s">
        <v>18</v>
      </c>
      <c r="D16" s="15" t="s">
        <v>17</v>
      </c>
      <c r="E16" s="31" t="s">
        <v>19</v>
      </c>
      <c r="F16" s="122">
        <v>26258</v>
      </c>
      <c r="G16" s="88" t="s">
        <v>285</v>
      </c>
      <c r="H16" s="94"/>
      <c r="I16" s="94"/>
    </row>
    <row r="17" spans="2:9" ht="15.75" thickBot="1">
      <c r="B17" s="41" t="s">
        <v>42</v>
      </c>
      <c r="C17" s="42" t="s">
        <v>241</v>
      </c>
      <c r="D17" s="43" t="s">
        <v>207</v>
      </c>
      <c r="E17" s="52" t="s">
        <v>8</v>
      </c>
      <c r="F17" s="44">
        <v>1772</v>
      </c>
      <c r="G17" s="45"/>
      <c r="H17" s="94"/>
      <c r="I17" s="94"/>
    </row>
    <row r="18" spans="2:9" ht="17.25" thickBot="1">
      <c r="B18" s="46" t="s">
        <v>45</v>
      </c>
      <c r="C18" s="158" t="s">
        <v>276</v>
      </c>
      <c r="D18" s="159"/>
      <c r="E18" s="159"/>
      <c r="F18" s="159"/>
      <c r="G18" s="160"/>
      <c r="H18" s="94"/>
      <c r="I18" s="94"/>
    </row>
    <row r="19" spans="2:9" ht="28.5" customHeight="1">
      <c r="B19" s="25">
        <v>2</v>
      </c>
      <c r="C19" s="47" t="s">
        <v>46</v>
      </c>
      <c r="D19" s="27" t="s">
        <v>208</v>
      </c>
      <c r="E19" s="28" t="s">
        <v>11</v>
      </c>
      <c r="F19" s="115">
        <f>F7*F20</f>
        <v>0</v>
      </c>
      <c r="G19" s="116" t="s">
        <v>307</v>
      </c>
      <c r="H19" s="117" t="s">
        <v>309</v>
      </c>
      <c r="I19" s="94"/>
    </row>
    <row r="20" spans="2:9" ht="69.599999999999994" customHeight="1" thickBot="1">
      <c r="B20" s="48" t="s">
        <v>308</v>
      </c>
      <c r="C20" s="16" t="s">
        <v>273</v>
      </c>
      <c r="D20" s="15" t="s">
        <v>243</v>
      </c>
      <c r="E20" s="31" t="s">
        <v>182</v>
      </c>
      <c r="F20" s="83">
        <v>0</v>
      </c>
      <c r="G20" s="88" t="s">
        <v>242</v>
      </c>
      <c r="H20" s="94"/>
      <c r="I20" s="94"/>
    </row>
    <row r="21" spans="2:9" ht="16.5">
      <c r="B21" s="49" t="s">
        <v>48</v>
      </c>
      <c r="C21" s="152" t="s">
        <v>277</v>
      </c>
      <c r="D21" s="153"/>
      <c r="E21" s="153"/>
      <c r="F21" s="153"/>
      <c r="G21" s="154"/>
      <c r="H21" s="94"/>
      <c r="I21" s="94"/>
    </row>
    <row r="22" spans="2:9">
      <c r="B22" s="18">
        <v>3</v>
      </c>
      <c r="C22" s="16" t="s">
        <v>49</v>
      </c>
      <c r="D22" s="15" t="s">
        <v>50</v>
      </c>
      <c r="E22" s="31" t="s">
        <v>11</v>
      </c>
      <c r="F22" s="50">
        <f>SUM(F23+F24)*(F25/100)</f>
        <v>4.5149208818174422</v>
      </c>
      <c r="G22" s="19" t="s">
        <v>244</v>
      </c>
      <c r="H22" s="94"/>
      <c r="I22" s="94"/>
    </row>
    <row r="23" spans="2:9" ht="17.25">
      <c r="B23" s="18" t="s">
        <v>51</v>
      </c>
      <c r="C23" s="16" t="s">
        <v>52</v>
      </c>
      <c r="D23" s="15" t="s">
        <v>10</v>
      </c>
      <c r="E23" s="31" t="s">
        <v>11</v>
      </c>
      <c r="F23" s="109">
        <f>SUM(F7)</f>
        <v>14.950069145090868</v>
      </c>
      <c r="G23" s="51"/>
      <c r="H23" s="94"/>
      <c r="I23" s="94"/>
    </row>
    <row r="24" spans="2:9" ht="16.5" customHeight="1">
      <c r="B24" s="18" t="s">
        <v>53</v>
      </c>
      <c r="C24" s="16" t="s">
        <v>46</v>
      </c>
      <c r="D24" s="15" t="s">
        <v>47</v>
      </c>
      <c r="E24" s="31" t="s">
        <v>11</v>
      </c>
      <c r="F24" s="39">
        <f>SUM(F19)</f>
        <v>0</v>
      </c>
      <c r="G24" s="51"/>
      <c r="H24" s="94"/>
      <c r="I24" s="94"/>
    </row>
    <row r="25" spans="2:9" ht="16.5" customHeight="1" thickBot="1">
      <c r="B25" s="41" t="s">
        <v>54</v>
      </c>
      <c r="C25" s="42" t="s">
        <v>280</v>
      </c>
      <c r="D25" s="43" t="s">
        <v>56</v>
      </c>
      <c r="E25" s="52" t="s">
        <v>57</v>
      </c>
      <c r="F25" s="53">
        <v>30.2</v>
      </c>
      <c r="G25" s="54" t="s">
        <v>58</v>
      </c>
      <c r="H25" s="94"/>
      <c r="I25" s="94"/>
    </row>
    <row r="26" spans="2:9" ht="16.5">
      <c r="B26" s="55" t="s">
        <v>59</v>
      </c>
      <c r="C26" s="161" t="s">
        <v>278</v>
      </c>
      <c r="D26" s="162"/>
      <c r="E26" s="162"/>
      <c r="F26" s="162"/>
      <c r="G26" s="163"/>
      <c r="H26" s="94"/>
      <c r="I26" s="94"/>
    </row>
    <row r="27" spans="2:9" ht="18" customHeight="1">
      <c r="B27" s="18">
        <v>4</v>
      </c>
      <c r="C27" s="56" t="s">
        <v>60</v>
      </c>
      <c r="D27" s="57" t="s">
        <v>61</v>
      </c>
      <c r="E27" s="58" t="s">
        <v>11</v>
      </c>
      <c r="F27" s="59">
        <f>F28*((F29/100)*(1+0.01*F30)+((F31/F32)*(F33/12)))*F34</f>
        <v>20.100933051714286</v>
      </c>
      <c r="G27" s="60" t="s">
        <v>245</v>
      </c>
      <c r="H27" s="94"/>
      <c r="I27" s="94"/>
    </row>
    <row r="28" spans="2:9">
      <c r="B28" s="61" t="s">
        <v>62</v>
      </c>
      <c r="C28" s="16" t="s">
        <v>63</v>
      </c>
      <c r="D28" s="15" t="s">
        <v>64</v>
      </c>
      <c r="E28" s="31" t="s">
        <v>21</v>
      </c>
      <c r="F28" s="87">
        <v>61.42</v>
      </c>
      <c r="G28" s="85" t="s">
        <v>351</v>
      </c>
      <c r="H28" s="94"/>
      <c r="I28" s="94"/>
    </row>
    <row r="29" spans="2:9" ht="75.599999999999994" customHeight="1">
      <c r="B29" s="61" t="s">
        <v>65</v>
      </c>
      <c r="C29" s="16" t="s">
        <v>279</v>
      </c>
      <c r="D29" s="15" t="s">
        <v>246</v>
      </c>
      <c r="E29" s="31" t="s">
        <v>66</v>
      </c>
      <c r="F29" s="91">
        <v>26.2</v>
      </c>
      <c r="G29" s="85" t="s">
        <v>313</v>
      </c>
      <c r="H29" s="94"/>
      <c r="I29" s="94"/>
    </row>
    <row r="30" spans="2:9" ht="83.1" customHeight="1">
      <c r="B30" s="61" t="s">
        <v>67</v>
      </c>
      <c r="C30" s="16" t="s">
        <v>68</v>
      </c>
      <c r="D30" s="15" t="s">
        <v>69</v>
      </c>
      <c r="E30" s="31" t="s">
        <v>57</v>
      </c>
      <c r="F30" s="36">
        <v>10</v>
      </c>
      <c r="G30" s="19" t="s">
        <v>70</v>
      </c>
      <c r="H30" s="94"/>
      <c r="I30" s="94"/>
    </row>
    <row r="31" spans="2:9" ht="33" customHeight="1">
      <c r="B31" s="61" t="s">
        <v>71</v>
      </c>
      <c r="C31" s="16" t="s">
        <v>72</v>
      </c>
      <c r="D31" s="62" t="s">
        <v>247</v>
      </c>
      <c r="E31" s="31" t="s">
        <v>73</v>
      </c>
      <c r="F31" s="105">
        <v>2.5</v>
      </c>
      <c r="G31" s="19" t="s">
        <v>318</v>
      </c>
      <c r="H31" s="94"/>
      <c r="I31" s="94"/>
    </row>
    <row r="32" spans="2:9" ht="24" customHeight="1">
      <c r="B32" s="61" t="s">
        <v>74</v>
      </c>
      <c r="C32" s="16" t="s">
        <v>75</v>
      </c>
      <c r="D32" s="62" t="s">
        <v>76</v>
      </c>
      <c r="E32" s="31" t="s">
        <v>77</v>
      </c>
      <c r="F32" s="106">
        <v>70</v>
      </c>
      <c r="G32" s="88"/>
      <c r="H32" s="94"/>
      <c r="I32" s="94"/>
    </row>
    <row r="33" spans="2:9" ht="30">
      <c r="B33" s="61" t="s">
        <v>78</v>
      </c>
      <c r="C33" s="16" t="s">
        <v>79</v>
      </c>
      <c r="D33" s="62" t="s">
        <v>80</v>
      </c>
      <c r="E33" s="31" t="s">
        <v>220</v>
      </c>
      <c r="F33" s="107">
        <v>9</v>
      </c>
      <c r="G33" s="88" t="s">
        <v>345</v>
      </c>
      <c r="H33" s="94"/>
      <c r="I33" s="94"/>
    </row>
    <row r="34" spans="2:9" ht="30">
      <c r="B34" s="61" t="s">
        <v>81</v>
      </c>
      <c r="C34" s="16" t="s">
        <v>82</v>
      </c>
      <c r="D34" s="15" t="s">
        <v>83</v>
      </c>
      <c r="E34" s="15" t="s">
        <v>182</v>
      </c>
      <c r="F34" s="104">
        <v>1.0389999999999999</v>
      </c>
      <c r="G34" s="63" t="s">
        <v>218</v>
      </c>
      <c r="H34" s="94"/>
      <c r="I34" s="94"/>
    </row>
    <row r="35" spans="2:9" ht="16.5">
      <c r="B35" s="18" t="s">
        <v>84</v>
      </c>
      <c r="C35" s="164" t="s">
        <v>281</v>
      </c>
      <c r="D35" s="165"/>
      <c r="E35" s="165"/>
      <c r="F35" s="165"/>
      <c r="G35" s="166"/>
      <c r="H35" s="94"/>
      <c r="I35" s="94"/>
    </row>
    <row r="36" spans="2:9" ht="17.25">
      <c r="B36" s="18">
        <v>5</v>
      </c>
      <c r="C36" s="16" t="s">
        <v>85</v>
      </c>
      <c r="D36" s="15" t="s">
        <v>86</v>
      </c>
      <c r="E36" s="58" t="s">
        <v>11</v>
      </c>
      <c r="F36" s="64">
        <f>0.075*F37</f>
        <v>1.5075699788785715</v>
      </c>
      <c r="G36" s="19" t="s">
        <v>248</v>
      </c>
      <c r="H36" s="94"/>
      <c r="I36" s="94"/>
    </row>
    <row r="37" spans="2:9" ht="17.25">
      <c r="B37" s="18" t="s">
        <v>87</v>
      </c>
      <c r="C37" s="56" t="s">
        <v>60</v>
      </c>
      <c r="D37" s="57" t="s">
        <v>61</v>
      </c>
      <c r="E37" s="58" t="s">
        <v>11</v>
      </c>
      <c r="F37" s="39">
        <f>SUM(F27)</f>
        <v>20.100933051714286</v>
      </c>
      <c r="G37" s="51" t="s">
        <v>88</v>
      </c>
      <c r="H37" s="94"/>
      <c r="I37" s="94"/>
    </row>
    <row r="38" spans="2:9" ht="16.5">
      <c r="B38" s="18" t="s">
        <v>89</v>
      </c>
      <c r="C38" s="164" t="s">
        <v>282</v>
      </c>
      <c r="D38" s="165"/>
      <c r="E38" s="165"/>
      <c r="F38" s="165"/>
      <c r="G38" s="166"/>
      <c r="H38" s="94"/>
      <c r="I38" s="94"/>
    </row>
    <row r="39" spans="2:9" ht="17.25">
      <c r="B39" s="18">
        <v>6</v>
      </c>
      <c r="C39" s="16" t="s">
        <v>90</v>
      </c>
      <c r="D39" s="15" t="s">
        <v>91</v>
      </c>
      <c r="E39" s="31" t="s">
        <v>11</v>
      </c>
      <c r="F39" s="64">
        <f>F40*F41</f>
        <v>0.68706</v>
      </c>
      <c r="G39" s="19" t="s">
        <v>249</v>
      </c>
      <c r="H39" s="94"/>
      <c r="I39" s="94"/>
    </row>
    <row r="40" spans="2:9" ht="60">
      <c r="B40" s="18" t="s">
        <v>92</v>
      </c>
      <c r="C40" s="16" t="s">
        <v>93</v>
      </c>
      <c r="D40" s="15" t="s">
        <v>94</v>
      </c>
      <c r="E40" s="31" t="s">
        <v>16</v>
      </c>
      <c r="F40" s="39">
        <v>0.66</v>
      </c>
      <c r="G40" s="19" t="s">
        <v>314</v>
      </c>
      <c r="H40" s="94"/>
      <c r="I40" s="94"/>
    </row>
    <row r="41" spans="2:9" ht="45.6" customHeight="1">
      <c r="B41" s="18" t="s">
        <v>95</v>
      </c>
      <c r="C41" s="16" t="s">
        <v>96</v>
      </c>
      <c r="D41" s="15" t="s">
        <v>97</v>
      </c>
      <c r="E41" s="15" t="s">
        <v>16</v>
      </c>
      <c r="F41" s="104">
        <v>1.0409999999999999</v>
      </c>
      <c r="G41" s="19" t="s">
        <v>98</v>
      </c>
      <c r="H41" s="94"/>
      <c r="I41" s="94"/>
    </row>
    <row r="42" spans="2:9" ht="16.5">
      <c r="B42" s="18" t="s">
        <v>99</v>
      </c>
      <c r="C42" s="148" t="s">
        <v>283</v>
      </c>
      <c r="D42" s="149"/>
      <c r="E42" s="149"/>
      <c r="F42" s="149"/>
      <c r="G42" s="150"/>
      <c r="H42" s="94"/>
      <c r="I42" s="94"/>
    </row>
    <row r="43" spans="2:9" ht="17.25">
      <c r="B43" s="18" t="s">
        <v>100</v>
      </c>
      <c r="C43" s="16" t="s">
        <v>101</v>
      </c>
      <c r="D43" s="15" t="s">
        <v>102</v>
      </c>
      <c r="E43" s="31" t="s">
        <v>11</v>
      </c>
      <c r="F43" s="64">
        <f>F44+F58</f>
        <v>17.412198971742679</v>
      </c>
      <c r="G43" s="19" t="s">
        <v>250</v>
      </c>
      <c r="H43" s="94"/>
      <c r="I43" s="94"/>
    </row>
    <row r="44" spans="2:9" ht="30">
      <c r="B44" s="18" t="s">
        <v>103</v>
      </c>
      <c r="C44" s="16" t="s">
        <v>104</v>
      </c>
      <c r="D44" s="15" t="s">
        <v>105</v>
      </c>
      <c r="E44" s="31" t="s">
        <v>11</v>
      </c>
      <c r="F44" s="39">
        <f>(F46*(F49/F56))*F48*((F53/F47)+(F54*F55))*F45*(1+(F57/100))</f>
        <v>12.727698971742679</v>
      </c>
      <c r="G44" s="19" t="s">
        <v>251</v>
      </c>
      <c r="H44" s="94"/>
      <c r="I44" s="94"/>
    </row>
    <row r="45" spans="2:9" ht="30.6" customHeight="1">
      <c r="B45" s="18" t="s">
        <v>106</v>
      </c>
      <c r="C45" s="66" t="s">
        <v>107</v>
      </c>
      <c r="D45" s="18">
        <v>1E-3</v>
      </c>
      <c r="E45" s="18" t="s">
        <v>16</v>
      </c>
      <c r="F45" s="18">
        <v>1E-3</v>
      </c>
      <c r="G45" s="67"/>
      <c r="H45" s="94"/>
      <c r="I45" s="94"/>
    </row>
    <row r="46" spans="2:9">
      <c r="B46" s="18" t="s">
        <v>108</v>
      </c>
      <c r="C46" s="16" t="s">
        <v>14</v>
      </c>
      <c r="D46" s="15">
        <v>12</v>
      </c>
      <c r="E46" s="31" t="s">
        <v>15</v>
      </c>
      <c r="F46" s="32">
        <v>12</v>
      </c>
      <c r="G46" s="67"/>
      <c r="H46" s="94"/>
      <c r="I46" s="94"/>
    </row>
    <row r="47" spans="2:9" ht="29.1" customHeight="1">
      <c r="B47" s="18" t="s">
        <v>109</v>
      </c>
      <c r="C47" s="16" t="s">
        <v>253</v>
      </c>
      <c r="D47" s="15" t="s">
        <v>252</v>
      </c>
      <c r="E47" s="31" t="s">
        <v>182</v>
      </c>
      <c r="F47" s="39">
        <v>0.9</v>
      </c>
      <c r="G47" s="108" t="s">
        <v>254</v>
      </c>
      <c r="H47" s="94"/>
      <c r="I47" s="94"/>
    </row>
    <row r="48" spans="2:9" ht="59.25" customHeight="1">
      <c r="B48" s="30" t="s">
        <v>110</v>
      </c>
      <c r="C48" s="16" t="s">
        <v>38</v>
      </c>
      <c r="D48" s="15" t="s">
        <v>39</v>
      </c>
      <c r="E48" s="15" t="s">
        <v>182</v>
      </c>
      <c r="F48" s="104">
        <v>1.119</v>
      </c>
      <c r="G48" s="33" t="s">
        <v>348</v>
      </c>
      <c r="H48" s="94"/>
      <c r="I48" s="94"/>
    </row>
    <row r="49" spans="2:9" ht="20.45" customHeight="1">
      <c r="B49" s="19" t="s">
        <v>111</v>
      </c>
      <c r="C49" s="66" t="s">
        <v>257</v>
      </c>
      <c r="D49" s="15" t="s">
        <v>112</v>
      </c>
      <c r="E49" s="31" t="s">
        <v>21</v>
      </c>
      <c r="F49" s="17">
        <f>F50*F51*F52</f>
        <v>66983.3</v>
      </c>
      <c r="G49" s="19" t="s">
        <v>113</v>
      </c>
      <c r="H49" s="94"/>
      <c r="I49" s="94"/>
    </row>
    <row r="50" spans="2:9" ht="45.6" customHeight="1">
      <c r="B50" s="18" t="s">
        <v>114</v>
      </c>
      <c r="C50" s="16" t="s">
        <v>115</v>
      </c>
      <c r="D50" s="15" t="s">
        <v>24</v>
      </c>
      <c r="E50" s="31" t="s">
        <v>21</v>
      </c>
      <c r="F50" s="36">
        <f>F10</f>
        <v>66983.3</v>
      </c>
      <c r="G50" s="88" t="s">
        <v>347</v>
      </c>
      <c r="H50" s="94"/>
      <c r="I50" s="94"/>
    </row>
    <row r="51" spans="2:9" ht="32.1" customHeight="1">
      <c r="B51" s="18" t="s">
        <v>116</v>
      </c>
      <c r="C51" s="66" t="s">
        <v>284</v>
      </c>
      <c r="D51" s="15" t="s">
        <v>217</v>
      </c>
      <c r="E51" s="15" t="s">
        <v>182</v>
      </c>
      <c r="F51" s="39">
        <v>1</v>
      </c>
      <c r="G51" s="19"/>
      <c r="H51" s="94"/>
      <c r="I51" s="94"/>
    </row>
    <row r="52" spans="2:9" ht="29.45" customHeight="1">
      <c r="B52" s="18" t="s">
        <v>117</v>
      </c>
      <c r="C52" s="68" t="s">
        <v>29</v>
      </c>
      <c r="D52" s="38" t="s">
        <v>30</v>
      </c>
      <c r="E52" s="31" t="s">
        <v>12</v>
      </c>
      <c r="F52" s="39">
        <v>1</v>
      </c>
      <c r="G52" s="33" t="s">
        <v>31</v>
      </c>
      <c r="H52" s="94"/>
      <c r="I52" s="94"/>
    </row>
    <row r="53" spans="2:9" ht="60" customHeight="1">
      <c r="B53" s="18" t="s">
        <v>118</v>
      </c>
      <c r="C53" s="16" t="s">
        <v>119</v>
      </c>
      <c r="D53" s="15" t="s">
        <v>120</v>
      </c>
      <c r="E53" s="15" t="s">
        <v>16</v>
      </c>
      <c r="F53" s="39">
        <v>9.3000000000000007</v>
      </c>
      <c r="G53" s="19" t="s">
        <v>315</v>
      </c>
      <c r="H53" s="94"/>
      <c r="I53" s="94"/>
    </row>
    <row r="54" spans="2:9" ht="54.95" customHeight="1">
      <c r="B54" s="18" t="s">
        <v>122</v>
      </c>
      <c r="C54" s="16" t="s">
        <v>123</v>
      </c>
      <c r="D54" s="15" t="s">
        <v>124</v>
      </c>
      <c r="E54" s="15" t="s">
        <v>16</v>
      </c>
      <c r="F54" s="18">
        <v>7.8</v>
      </c>
      <c r="G54" s="19" t="s">
        <v>316</v>
      </c>
      <c r="H54" s="94"/>
      <c r="I54" s="94"/>
    </row>
    <row r="55" spans="2:9" ht="34.5" customHeight="1">
      <c r="B55" s="18" t="s">
        <v>125</v>
      </c>
      <c r="C55" s="16" t="s">
        <v>256</v>
      </c>
      <c r="D55" s="20" t="s">
        <v>255</v>
      </c>
      <c r="E55" s="15" t="s">
        <v>16</v>
      </c>
      <c r="F55" s="39">
        <f>SUM('КЗп, КЗ, КЗЧ'!C4)</f>
        <v>1.2</v>
      </c>
      <c r="G55" s="19" t="s">
        <v>254</v>
      </c>
      <c r="H55" s="94"/>
      <c r="I55" s="94"/>
    </row>
    <row r="56" spans="2:9" ht="23.45" customHeight="1">
      <c r="B56" s="18" t="s">
        <v>126</v>
      </c>
      <c r="C56" s="16" t="s">
        <v>43</v>
      </c>
      <c r="D56" s="15" t="s">
        <v>44</v>
      </c>
      <c r="E56" s="15" t="s">
        <v>8</v>
      </c>
      <c r="F56" s="12">
        <v>1812</v>
      </c>
      <c r="G56" s="19"/>
      <c r="H56" s="94"/>
      <c r="I56" s="94"/>
    </row>
    <row r="57" spans="2:9" ht="23.45" customHeight="1">
      <c r="B57" s="18" t="s">
        <v>127</v>
      </c>
      <c r="C57" s="16" t="s">
        <v>55</v>
      </c>
      <c r="D57" s="15" t="s">
        <v>56</v>
      </c>
      <c r="E57" s="31" t="s">
        <v>57</v>
      </c>
      <c r="F57" s="69">
        <v>30.2</v>
      </c>
      <c r="G57" s="19" t="s">
        <v>58</v>
      </c>
      <c r="H57" s="94"/>
      <c r="I57" s="94"/>
    </row>
    <row r="58" spans="2:9" ht="36.6" customHeight="1">
      <c r="B58" s="18" t="s">
        <v>128</v>
      </c>
      <c r="C58" s="16" t="s">
        <v>129</v>
      </c>
      <c r="D58" s="15" t="s">
        <v>130</v>
      </c>
      <c r="E58" s="31" t="s">
        <v>11</v>
      </c>
      <c r="F58" s="39">
        <f>F59*F60*F61</f>
        <v>4.6844999999999999</v>
      </c>
      <c r="G58" s="19" t="s">
        <v>259</v>
      </c>
      <c r="H58" s="94"/>
      <c r="I58" s="94"/>
    </row>
    <row r="59" spans="2:9" ht="56.1" customHeight="1">
      <c r="B59" s="18" t="s">
        <v>131</v>
      </c>
      <c r="C59" s="16" t="s">
        <v>132</v>
      </c>
      <c r="D59" s="15" t="s">
        <v>133</v>
      </c>
      <c r="E59" s="15" t="s">
        <v>182</v>
      </c>
      <c r="F59" s="39">
        <v>3.6</v>
      </c>
      <c r="G59" s="19" t="s">
        <v>317</v>
      </c>
      <c r="H59" s="94"/>
      <c r="I59" s="94"/>
    </row>
    <row r="60" spans="2:9" ht="32.1" customHeight="1">
      <c r="B60" s="18" t="s">
        <v>134</v>
      </c>
      <c r="C60" s="16" t="s">
        <v>258</v>
      </c>
      <c r="D60" s="15" t="s">
        <v>135</v>
      </c>
      <c r="E60" s="15" t="s">
        <v>182</v>
      </c>
      <c r="F60" s="39">
        <f>SUM('КЗп, КЗ, КЗЧ'!D4)</f>
        <v>1.25</v>
      </c>
      <c r="G60" s="19" t="s">
        <v>352</v>
      </c>
      <c r="H60" s="94"/>
      <c r="I60" s="94"/>
    </row>
    <row r="61" spans="2:9" ht="48" customHeight="1">
      <c r="B61" s="18" t="s">
        <v>134</v>
      </c>
      <c r="C61" s="16" t="s">
        <v>96</v>
      </c>
      <c r="D61" s="15" t="s">
        <v>97</v>
      </c>
      <c r="E61" s="15" t="s">
        <v>16</v>
      </c>
      <c r="F61" s="89">
        <v>1.0409999999999999</v>
      </c>
      <c r="G61" s="85" t="s">
        <v>136</v>
      </c>
      <c r="H61" s="94"/>
      <c r="I61" s="94"/>
    </row>
    <row r="62" spans="2:9" ht="16.5">
      <c r="B62" s="70" t="s">
        <v>137</v>
      </c>
      <c r="C62" s="167" t="s">
        <v>138</v>
      </c>
      <c r="D62" s="168"/>
      <c r="E62" s="168"/>
      <c r="F62" s="168"/>
      <c r="G62" s="168"/>
      <c r="H62" s="94"/>
      <c r="I62" s="94"/>
    </row>
    <row r="63" spans="2:9" ht="30">
      <c r="B63" s="18">
        <v>8</v>
      </c>
      <c r="C63" s="63" t="s">
        <v>139</v>
      </c>
      <c r="D63" s="71" t="s">
        <v>140</v>
      </c>
      <c r="E63" s="72" t="s">
        <v>11</v>
      </c>
      <c r="F63" s="50">
        <f>F64*(F65+F66+F67+F68)</f>
        <v>29.97936031176333</v>
      </c>
      <c r="G63" s="19" t="s">
        <v>260</v>
      </c>
      <c r="H63" s="94"/>
      <c r="I63" s="94"/>
    </row>
    <row r="64" spans="2:9" ht="28.5" customHeight="1">
      <c r="B64" s="18" t="s">
        <v>141</v>
      </c>
      <c r="C64" s="37" t="s">
        <v>142</v>
      </c>
      <c r="D64" s="73" t="s">
        <v>143</v>
      </c>
      <c r="E64" s="74" t="s">
        <v>144</v>
      </c>
      <c r="F64" s="18">
        <v>0.755</v>
      </c>
      <c r="G64" s="19" t="s">
        <v>350</v>
      </c>
      <c r="H64" s="94"/>
      <c r="I64" s="94"/>
    </row>
    <row r="65" spans="2:9" ht="17.25">
      <c r="B65" s="18" t="s">
        <v>146</v>
      </c>
      <c r="C65" s="56" t="s">
        <v>60</v>
      </c>
      <c r="D65" s="57" t="s">
        <v>61</v>
      </c>
      <c r="E65" s="58" t="s">
        <v>11</v>
      </c>
      <c r="F65" s="75">
        <f>F37</f>
        <v>20.100933051714286</v>
      </c>
      <c r="G65" s="76"/>
      <c r="H65" s="94"/>
      <c r="I65" s="94"/>
    </row>
    <row r="66" spans="2:9" ht="22.5" customHeight="1">
      <c r="B66" s="18" t="s">
        <v>147</v>
      </c>
      <c r="C66" s="16" t="s">
        <v>85</v>
      </c>
      <c r="D66" s="15" t="s">
        <v>86</v>
      </c>
      <c r="E66" s="58" t="s">
        <v>11</v>
      </c>
      <c r="F66" s="77">
        <f>F36</f>
        <v>1.5075699788785715</v>
      </c>
      <c r="G66" s="78"/>
      <c r="H66" s="94"/>
      <c r="I66" s="94"/>
    </row>
    <row r="67" spans="2:9" ht="17.25">
      <c r="B67" s="21" t="s">
        <v>148</v>
      </c>
      <c r="C67" s="16" t="s">
        <v>90</v>
      </c>
      <c r="D67" s="15" t="s">
        <v>91</v>
      </c>
      <c r="E67" s="31" t="s">
        <v>11</v>
      </c>
      <c r="F67" s="77">
        <f>F39</f>
        <v>0.68706</v>
      </c>
      <c r="G67" s="78"/>
      <c r="H67" s="94"/>
      <c r="I67" s="94"/>
    </row>
    <row r="68" spans="2:9" ht="17.25">
      <c r="B68" s="21" t="s">
        <v>149</v>
      </c>
      <c r="C68" s="16" t="s">
        <v>101</v>
      </c>
      <c r="D68" s="15" t="s">
        <v>102</v>
      </c>
      <c r="E68" s="31" t="s">
        <v>11</v>
      </c>
      <c r="F68" s="77">
        <f>F43</f>
        <v>17.412198971742679</v>
      </c>
      <c r="G68" s="78"/>
      <c r="H68" s="94"/>
      <c r="I68" s="94"/>
    </row>
    <row r="69" spans="2:9" ht="16.5">
      <c r="B69" s="21" t="s">
        <v>150</v>
      </c>
      <c r="C69" s="148" t="s">
        <v>151</v>
      </c>
      <c r="D69" s="149"/>
      <c r="E69" s="149"/>
      <c r="F69" s="149"/>
      <c r="G69" s="150"/>
      <c r="H69" s="94"/>
      <c r="I69" s="94"/>
    </row>
    <row r="70" spans="2:9" ht="17.25">
      <c r="B70" s="18">
        <v>9</v>
      </c>
      <c r="C70" s="16" t="s">
        <v>152</v>
      </c>
      <c r="D70" s="15" t="s">
        <v>153</v>
      </c>
      <c r="E70" s="31" t="s">
        <v>11</v>
      </c>
      <c r="F70" s="79">
        <f>F7+F19+F22+F27+F36+F39+F43+F63</f>
        <v>89.152112341007182</v>
      </c>
      <c r="G70" s="19" t="s">
        <v>154</v>
      </c>
      <c r="H70" s="94"/>
      <c r="I70" s="94"/>
    </row>
    <row r="71" spans="2:9">
      <c r="B71" s="22"/>
      <c r="C71" s="22"/>
      <c r="D71" s="22"/>
      <c r="E71" s="22"/>
      <c r="F71" s="22"/>
      <c r="G71" s="22"/>
      <c r="H71" s="97"/>
      <c r="I71" s="97"/>
    </row>
    <row r="72" spans="2:9">
      <c r="B72" s="22"/>
      <c r="C72" s="22"/>
      <c r="D72" s="22"/>
      <c r="E72" s="22"/>
      <c r="F72" s="22"/>
      <c r="G72" s="22"/>
      <c r="H72" s="97"/>
      <c r="I72" s="97"/>
    </row>
    <row r="73" spans="2:9" ht="19.5">
      <c r="B73" s="151" t="s">
        <v>155</v>
      </c>
      <c r="C73" s="151"/>
      <c r="D73" s="151"/>
      <c r="E73" s="151"/>
      <c r="F73" s="151"/>
      <c r="G73" s="151"/>
      <c r="H73" s="97"/>
      <c r="I73" s="97"/>
    </row>
    <row r="74" spans="2:9">
      <c r="B74" s="23"/>
      <c r="C74" s="23"/>
      <c r="D74" s="23"/>
      <c r="E74" s="23"/>
      <c r="F74" s="23"/>
      <c r="G74" s="23"/>
      <c r="H74" s="97"/>
      <c r="I74" s="97"/>
    </row>
    <row r="75" spans="2:9" ht="30">
      <c r="B75" s="18">
        <v>10</v>
      </c>
      <c r="C75" s="16" t="s">
        <v>156</v>
      </c>
      <c r="D75" s="20" t="s">
        <v>157</v>
      </c>
      <c r="E75" s="31" t="s">
        <v>21</v>
      </c>
      <c r="F75" s="17">
        <f>(F76*F77*F78/F79)+F81*F82*F80*F84*F85/(12*F83)</f>
        <v>237426.30031433498</v>
      </c>
      <c r="G75" s="19" t="s">
        <v>261</v>
      </c>
      <c r="H75" s="97"/>
      <c r="I75" s="97"/>
    </row>
    <row r="76" spans="2:9" ht="17.25">
      <c r="B76" s="80" t="s">
        <v>158</v>
      </c>
      <c r="C76" s="16" t="s">
        <v>159</v>
      </c>
      <c r="D76" s="15" t="s">
        <v>153</v>
      </c>
      <c r="E76" s="31" t="s">
        <v>11</v>
      </c>
      <c r="F76" s="17">
        <f>F70</f>
        <v>89.152112341007182</v>
      </c>
      <c r="G76" s="19" t="s">
        <v>12</v>
      </c>
      <c r="H76" s="97"/>
      <c r="I76" s="97"/>
    </row>
    <row r="77" spans="2:9" ht="30">
      <c r="B77" s="18" t="s">
        <v>160</v>
      </c>
      <c r="C77" s="16" t="s">
        <v>161</v>
      </c>
      <c r="D77" s="15" t="s">
        <v>262</v>
      </c>
      <c r="E77" s="31" t="s">
        <v>144</v>
      </c>
      <c r="F77" s="20">
        <v>1.0960000000000001</v>
      </c>
      <c r="G77" s="19" t="s">
        <v>16</v>
      </c>
      <c r="H77" s="97"/>
      <c r="I77" s="97"/>
    </row>
    <row r="78" spans="2:9" ht="23.1" customHeight="1">
      <c r="B78" s="18" t="s">
        <v>162</v>
      </c>
      <c r="C78" s="16" t="s">
        <v>18</v>
      </c>
      <c r="D78" s="15" t="s">
        <v>17</v>
      </c>
      <c r="E78" s="31" t="s">
        <v>19</v>
      </c>
      <c r="F78" s="103">
        <f>Реестр!L8</f>
        <v>2211.1999999999998</v>
      </c>
      <c r="G78" s="111" t="s">
        <v>344</v>
      </c>
      <c r="H78" s="97"/>
      <c r="I78" s="97"/>
    </row>
    <row r="79" spans="2:9" ht="32.450000000000003" customHeight="1">
      <c r="B79" s="18" t="s">
        <v>163</v>
      </c>
      <c r="C79" s="16" t="s">
        <v>164</v>
      </c>
      <c r="D79" s="15" t="s">
        <v>165</v>
      </c>
      <c r="E79" s="31" t="s">
        <v>16</v>
      </c>
      <c r="F79" s="85">
        <v>0.91</v>
      </c>
      <c r="G79" s="111" t="s">
        <v>311</v>
      </c>
      <c r="H79" s="97"/>
      <c r="I79" s="97"/>
    </row>
    <row r="80" spans="2:9" ht="21" customHeight="1">
      <c r="B80" s="80" t="s">
        <v>166</v>
      </c>
      <c r="C80" s="16" t="s">
        <v>265</v>
      </c>
      <c r="D80" s="15" t="s">
        <v>266</v>
      </c>
      <c r="E80" s="31" t="s">
        <v>182</v>
      </c>
      <c r="F80" s="81">
        <v>1</v>
      </c>
      <c r="G80" s="19" t="s">
        <v>267</v>
      </c>
      <c r="H80" s="97"/>
      <c r="I80" s="97"/>
    </row>
    <row r="81" spans="2:9" ht="20.100000000000001" customHeight="1">
      <c r="B81" s="80" t="s">
        <v>167</v>
      </c>
      <c r="C81" s="16" t="s">
        <v>263</v>
      </c>
      <c r="D81" s="15" t="s">
        <v>168</v>
      </c>
      <c r="E81" s="31" t="s">
        <v>169</v>
      </c>
      <c r="F81" s="110">
        <v>1</v>
      </c>
      <c r="G81" s="85" t="s">
        <v>170</v>
      </c>
      <c r="H81" s="97"/>
      <c r="I81" s="97"/>
    </row>
    <row r="82" spans="2:9" ht="39.6" customHeight="1">
      <c r="B82" s="80" t="s">
        <v>171</v>
      </c>
      <c r="C82" s="16" t="s">
        <v>172</v>
      </c>
      <c r="D82" s="15" t="s">
        <v>173</v>
      </c>
      <c r="E82" s="31" t="s">
        <v>21</v>
      </c>
      <c r="F82" s="112">
        <v>0</v>
      </c>
      <c r="G82" s="85" t="s">
        <v>174</v>
      </c>
      <c r="H82" s="97"/>
      <c r="I82" s="97"/>
    </row>
    <row r="83" spans="2:9" ht="18" customHeight="1">
      <c r="B83" s="80" t="s">
        <v>175</v>
      </c>
      <c r="C83" s="16" t="s">
        <v>176</v>
      </c>
      <c r="D83" s="15" t="s">
        <v>177</v>
      </c>
      <c r="E83" s="31" t="s">
        <v>178</v>
      </c>
      <c r="F83" s="32">
        <v>7</v>
      </c>
      <c r="G83" s="19" t="s">
        <v>264</v>
      </c>
      <c r="H83" s="97"/>
      <c r="I83" s="97"/>
    </row>
    <row r="84" spans="2:9" ht="41.1" customHeight="1">
      <c r="B84" s="80" t="s">
        <v>179</v>
      </c>
      <c r="C84" s="16" t="s">
        <v>180</v>
      </c>
      <c r="D84" s="15" t="s">
        <v>181</v>
      </c>
      <c r="E84" s="31" t="s">
        <v>182</v>
      </c>
      <c r="F84" s="65">
        <v>1.0409999999999999</v>
      </c>
      <c r="G84" s="19" t="s">
        <v>183</v>
      </c>
      <c r="H84" s="97"/>
      <c r="I84" s="97"/>
    </row>
    <row r="85" spans="2:9" ht="21" customHeight="1">
      <c r="B85" s="82" t="s">
        <v>268</v>
      </c>
      <c r="C85" s="16" t="s">
        <v>184</v>
      </c>
      <c r="D85" s="15" t="s">
        <v>185</v>
      </c>
      <c r="E85" s="31" t="s">
        <v>219</v>
      </c>
      <c r="F85" s="126">
        <v>12</v>
      </c>
      <c r="G85" s="111" t="s">
        <v>344</v>
      </c>
      <c r="H85" s="97"/>
      <c r="I85" s="97"/>
    </row>
    <row r="86" spans="2:9" ht="34.5" customHeight="1">
      <c r="B86" s="80" t="s">
        <v>298</v>
      </c>
      <c r="C86" s="16" t="s">
        <v>240</v>
      </c>
      <c r="D86" s="15" t="s">
        <v>239</v>
      </c>
      <c r="E86" s="31" t="s">
        <v>19</v>
      </c>
      <c r="F86" s="127">
        <f>4*52*138.2</f>
        <v>28745.599999999999</v>
      </c>
      <c r="G86" s="85"/>
      <c r="H86" s="97"/>
      <c r="I86" s="97"/>
    </row>
    <row r="87" spans="2:9" ht="24.6" customHeight="1">
      <c r="B87" s="82" t="s">
        <v>299</v>
      </c>
      <c r="C87" s="19" t="s">
        <v>269</v>
      </c>
      <c r="D87" s="15" t="s">
        <v>186</v>
      </c>
      <c r="E87" s="31" t="s">
        <v>187</v>
      </c>
      <c r="F87" s="114">
        <f>F78*29</f>
        <v>64124.799999999996</v>
      </c>
      <c r="G87" s="85" t="s">
        <v>188</v>
      </c>
      <c r="H87" s="97"/>
      <c r="I87" s="97"/>
    </row>
    <row r="88" spans="2:9" ht="18" customHeight="1">
      <c r="B88" s="80" t="s">
        <v>300</v>
      </c>
      <c r="C88" s="19" t="s">
        <v>270</v>
      </c>
      <c r="D88" s="15" t="s">
        <v>189</v>
      </c>
      <c r="E88" s="31" t="s">
        <v>187</v>
      </c>
      <c r="F88" s="114">
        <f>F87</f>
        <v>64124.799999999996</v>
      </c>
      <c r="G88" s="85" t="s">
        <v>190</v>
      </c>
      <c r="H88" s="97"/>
      <c r="I88" s="97"/>
    </row>
    <row r="89" spans="2:9" ht="27" customHeight="1">
      <c r="B89" s="82" t="s">
        <v>301</v>
      </c>
      <c r="C89" s="19" t="s">
        <v>295</v>
      </c>
      <c r="D89" s="15" t="s">
        <v>191</v>
      </c>
      <c r="E89" s="31" t="s">
        <v>21</v>
      </c>
      <c r="F89" s="144">
        <v>82642.3</v>
      </c>
      <c r="G89" s="85" t="s">
        <v>296</v>
      </c>
      <c r="H89" s="97"/>
      <c r="I89" s="97"/>
    </row>
    <row r="90" spans="2:9" ht="27.75" customHeight="1">
      <c r="B90" s="80" t="s">
        <v>302</v>
      </c>
      <c r="C90" s="18" t="s">
        <v>192</v>
      </c>
      <c r="D90" s="15" t="s">
        <v>193</v>
      </c>
      <c r="E90" s="15" t="s">
        <v>182</v>
      </c>
      <c r="F90" s="113">
        <v>1.0409999999999999</v>
      </c>
      <c r="G90" s="84" t="s">
        <v>294</v>
      </c>
      <c r="H90" s="97"/>
      <c r="I90" s="97"/>
    </row>
    <row r="91" spans="2:9" ht="20.25" customHeight="1">
      <c r="B91" s="82" t="s">
        <v>303</v>
      </c>
      <c r="C91" s="18"/>
      <c r="D91" s="15" t="s">
        <v>231</v>
      </c>
      <c r="E91" s="31" t="s">
        <v>21</v>
      </c>
      <c r="F91" s="83">
        <v>0</v>
      </c>
      <c r="G91" s="84" t="s">
        <v>233</v>
      </c>
      <c r="H91" s="97"/>
      <c r="I91" s="97"/>
    </row>
    <row r="92" spans="2:9" ht="26.25" customHeight="1">
      <c r="B92" s="80" t="s">
        <v>304</v>
      </c>
      <c r="C92" s="18"/>
      <c r="D92" s="15" t="s">
        <v>232</v>
      </c>
      <c r="E92" s="31" t="s">
        <v>21</v>
      </c>
      <c r="F92" s="83">
        <v>0</v>
      </c>
      <c r="G92" s="84" t="s">
        <v>234</v>
      </c>
      <c r="H92" s="97"/>
      <c r="I92" s="97"/>
    </row>
    <row r="93" spans="2:9" ht="41.25" customHeight="1">
      <c r="B93" s="82" t="s">
        <v>305</v>
      </c>
      <c r="C93" s="18"/>
      <c r="D93" s="15" t="s">
        <v>236</v>
      </c>
      <c r="E93" s="31" t="s">
        <v>182</v>
      </c>
      <c r="F93" s="83">
        <v>1</v>
      </c>
      <c r="G93" s="84" t="s">
        <v>237</v>
      </c>
      <c r="H93" s="97"/>
      <c r="I93" s="97"/>
    </row>
    <row r="94" spans="2:9">
      <c r="B94" s="80" t="s">
        <v>306</v>
      </c>
      <c r="C94" s="18"/>
      <c r="D94" s="15" t="s">
        <v>194</v>
      </c>
      <c r="E94" s="15"/>
      <c r="F94" s="90">
        <f>(F75+F91)*F93-F92-F89</f>
        <v>154784.00031433499</v>
      </c>
      <c r="G94" s="19" t="s">
        <v>235</v>
      </c>
      <c r="H94" s="97"/>
      <c r="I94" s="97"/>
    </row>
    <row r="95" spans="2:9">
      <c r="B95" s="93"/>
      <c r="C95" s="93"/>
      <c r="D95" s="93"/>
      <c r="E95" s="93"/>
      <c r="F95" s="95"/>
      <c r="G95" s="96"/>
      <c r="H95" s="97"/>
      <c r="I95" s="97"/>
    </row>
    <row r="96" spans="2:9">
      <c r="B96" s="93"/>
      <c r="C96" s="147" t="s">
        <v>358</v>
      </c>
      <c r="D96" s="98"/>
      <c r="E96" s="98"/>
      <c r="F96" s="96"/>
      <c r="G96" s="99"/>
      <c r="H96" s="97"/>
      <c r="I96" s="97"/>
    </row>
    <row r="97" spans="2:9">
      <c r="B97" s="100"/>
      <c r="C97" s="100"/>
      <c r="D97" s="100"/>
      <c r="E97" s="100"/>
      <c r="F97" s="101"/>
      <c r="G97" s="102"/>
      <c r="H97" s="100"/>
      <c r="I97" s="100"/>
    </row>
  </sheetData>
  <mergeCells count="12">
    <mergeCell ref="B73:G73"/>
    <mergeCell ref="B2:G2"/>
    <mergeCell ref="C3:G3"/>
    <mergeCell ref="C6:G6"/>
    <mergeCell ref="C18:G18"/>
    <mergeCell ref="C21:G21"/>
    <mergeCell ref="C26:G26"/>
    <mergeCell ref="C35:G35"/>
    <mergeCell ref="C38:G38"/>
    <mergeCell ref="C42:G42"/>
    <mergeCell ref="C62:G62"/>
    <mergeCell ref="C69:G69"/>
  </mergeCells>
  <pageMargins left="0.70866141732283472" right="0.70866141732283472" top="0.55118110236220474" bottom="0.55118110236220474" header="0.31496062992125984" footer="0.31496062992125984"/>
  <pageSetup paperSize="9" scale="50" orientation="landscape" r:id="rId1"/>
</worksheet>
</file>

<file path=xl/worksheets/sheet4.xml><?xml version="1.0" encoding="utf-8"?>
<worksheet xmlns="http://schemas.openxmlformats.org/spreadsheetml/2006/main" xmlns:r="http://schemas.openxmlformats.org/officeDocument/2006/relationships">
  <dimension ref="A1:B10"/>
  <sheetViews>
    <sheetView workbookViewId="0">
      <selection activeCell="A2" sqref="A2:B2"/>
    </sheetView>
  </sheetViews>
  <sheetFormatPr defaultRowHeight="15"/>
  <cols>
    <col min="1" max="1" width="60" customWidth="1"/>
    <col min="2" max="2" width="18.140625" customWidth="1"/>
  </cols>
  <sheetData>
    <row r="1" spans="1:2" ht="45.75" thickBot="1">
      <c r="A1" s="8" t="s">
        <v>221</v>
      </c>
      <c r="B1" s="9" t="s">
        <v>143</v>
      </c>
    </row>
    <row r="2" spans="1:2" ht="15.75" thickBot="1">
      <c r="A2" s="120" t="s">
        <v>222</v>
      </c>
      <c r="B2" s="121">
        <v>0.755</v>
      </c>
    </row>
    <row r="3" spans="1:2" ht="15.75" thickBot="1">
      <c r="A3" s="10" t="s">
        <v>223</v>
      </c>
      <c r="B3" s="2">
        <v>0.745</v>
      </c>
    </row>
    <row r="4" spans="1:2" ht="15.75" thickBot="1">
      <c r="A4" s="10" t="s">
        <v>224</v>
      </c>
      <c r="B4" s="2">
        <v>0.71</v>
      </c>
    </row>
    <row r="5" spans="1:2" ht="15.75" thickBot="1">
      <c r="A5" s="10" t="s">
        <v>225</v>
      </c>
      <c r="B5" s="2">
        <v>0.63500000000000001</v>
      </c>
    </row>
    <row r="6" spans="1:2" ht="15.75" thickBot="1">
      <c r="A6" s="10" t="s">
        <v>226</v>
      </c>
      <c r="B6" s="2">
        <v>0.57999999999999996</v>
      </c>
    </row>
    <row r="7" spans="1:2" ht="15.75" thickBot="1">
      <c r="A7" s="10" t="s">
        <v>227</v>
      </c>
      <c r="B7" s="2">
        <v>0.51500000000000001</v>
      </c>
    </row>
    <row r="8" spans="1:2" ht="15.75" thickBot="1">
      <c r="A8" s="10" t="s">
        <v>228</v>
      </c>
      <c r="B8" s="2">
        <v>0.46</v>
      </c>
    </row>
    <row r="9" spans="1:2" ht="15.75" thickBot="1">
      <c r="A9" s="10" t="s">
        <v>229</v>
      </c>
      <c r="B9" s="2">
        <v>0.42</v>
      </c>
    </row>
    <row r="10" spans="1:2" ht="15.75" thickBot="1">
      <c r="A10" s="10" t="s">
        <v>230</v>
      </c>
      <c r="B10" s="2">
        <v>0.375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C9"/>
  <sheetViews>
    <sheetView workbookViewId="0">
      <selection activeCell="A4" sqref="A4:C5"/>
    </sheetView>
  </sheetViews>
  <sheetFormatPr defaultRowHeight="15"/>
  <cols>
    <col min="2" max="2" width="24.140625" customWidth="1"/>
    <col min="3" max="3" width="19.140625" customWidth="1"/>
  </cols>
  <sheetData>
    <row r="1" spans="1:3" ht="69" customHeight="1">
      <c r="A1" s="177" t="s">
        <v>195</v>
      </c>
      <c r="B1" s="177" t="s">
        <v>196</v>
      </c>
      <c r="C1" s="4" t="s">
        <v>197</v>
      </c>
    </row>
    <row r="2" spans="1:3" ht="21" customHeight="1">
      <c r="A2" s="177"/>
      <c r="B2" s="177"/>
      <c r="C2" s="14" t="s">
        <v>198</v>
      </c>
    </row>
    <row r="3" spans="1:3" ht="30">
      <c r="A3" s="14">
        <v>1</v>
      </c>
      <c r="B3" s="4" t="s">
        <v>199</v>
      </c>
      <c r="C3" s="14">
        <v>1.08</v>
      </c>
    </row>
    <row r="4" spans="1:3" ht="30">
      <c r="A4" s="119">
        <v>2</v>
      </c>
      <c r="B4" s="123" t="s">
        <v>200</v>
      </c>
      <c r="C4" s="119">
        <v>1.1499999999999999</v>
      </c>
    </row>
    <row r="5" spans="1:3" ht="30">
      <c r="A5" s="119">
        <v>3</v>
      </c>
      <c r="B5" s="123" t="s">
        <v>201</v>
      </c>
      <c r="C5" s="119">
        <v>1.28</v>
      </c>
    </row>
    <row r="6" spans="1:3" ht="30">
      <c r="A6" s="14">
        <v>4</v>
      </c>
      <c r="B6" s="4" t="s">
        <v>202</v>
      </c>
      <c r="C6" s="14">
        <v>1.85</v>
      </c>
    </row>
    <row r="7" spans="1:3" ht="30">
      <c r="A7" s="14">
        <v>5</v>
      </c>
      <c r="B7" s="4" t="s">
        <v>203</v>
      </c>
      <c r="C7" s="14">
        <v>1.95</v>
      </c>
    </row>
    <row r="8" spans="1:3" ht="20.25" customHeight="1">
      <c r="A8" s="14">
        <v>6</v>
      </c>
      <c r="B8" s="5" t="s">
        <v>204</v>
      </c>
      <c r="C8" s="14">
        <v>0.95</v>
      </c>
    </row>
    <row r="9" spans="1:3" ht="24.75" customHeight="1">
      <c r="A9" s="14">
        <v>7</v>
      </c>
      <c r="B9" s="4" t="s">
        <v>205</v>
      </c>
      <c r="C9" s="14">
        <v>1</v>
      </c>
    </row>
  </sheetData>
  <mergeCells count="2">
    <mergeCell ref="A1:A2"/>
    <mergeCell ref="B1:B2"/>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dimension ref="A1:D6"/>
  <sheetViews>
    <sheetView workbookViewId="0">
      <selection activeCell="L4" sqref="L4"/>
    </sheetView>
  </sheetViews>
  <sheetFormatPr defaultRowHeight="15"/>
  <cols>
    <col min="1" max="1" width="48.140625" customWidth="1"/>
    <col min="2" max="2" width="15.5703125" customWidth="1"/>
    <col min="3" max="3" width="14.5703125" customWidth="1"/>
    <col min="4" max="4" width="16" customWidth="1"/>
  </cols>
  <sheetData>
    <row r="1" spans="1:4">
      <c r="A1" s="3" t="s">
        <v>209</v>
      </c>
      <c r="B1" s="11" t="s">
        <v>210</v>
      </c>
      <c r="C1" s="11" t="s">
        <v>211</v>
      </c>
      <c r="D1" s="11" t="s">
        <v>212</v>
      </c>
    </row>
    <row r="2" spans="1:4" ht="105">
      <c r="A2" s="4" t="s">
        <v>213</v>
      </c>
      <c r="B2" s="3">
        <v>1</v>
      </c>
      <c r="C2" s="3">
        <v>0.9</v>
      </c>
      <c r="D2" s="3">
        <v>0.9</v>
      </c>
    </row>
    <row r="3" spans="1:4" ht="45">
      <c r="A3" s="4" t="s">
        <v>214</v>
      </c>
      <c r="B3" s="3">
        <v>0.9</v>
      </c>
      <c r="C3" s="3">
        <v>1.1000000000000001</v>
      </c>
      <c r="D3" s="3">
        <v>1.1000000000000001</v>
      </c>
    </row>
    <row r="4" spans="1:4" ht="165">
      <c r="A4" s="4" t="s">
        <v>310</v>
      </c>
      <c r="B4" s="119">
        <v>0.9</v>
      </c>
      <c r="C4" s="119">
        <v>1.2</v>
      </c>
      <c r="D4" s="119">
        <v>1.25</v>
      </c>
    </row>
    <row r="5" spans="1:4" ht="30">
      <c r="A5" s="4" t="s">
        <v>215</v>
      </c>
      <c r="B5" s="3">
        <v>0.8</v>
      </c>
      <c r="C5" s="3">
        <v>1.3</v>
      </c>
      <c r="D5" s="3">
        <v>1.4</v>
      </c>
    </row>
    <row r="6" spans="1:4">
      <c r="A6" s="4" t="s">
        <v>216</v>
      </c>
      <c r="B6" s="3">
        <v>1</v>
      </c>
      <c r="C6" s="3">
        <v>1</v>
      </c>
      <c r="D6" s="3">
        <v>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E3"/>
  <sheetViews>
    <sheetView workbookViewId="0">
      <selection activeCell="G14" sqref="G14"/>
    </sheetView>
  </sheetViews>
  <sheetFormatPr defaultRowHeight="15"/>
  <cols>
    <col min="4" max="4" width="23.140625" customWidth="1"/>
    <col min="5" max="5" width="13.140625" customWidth="1"/>
  </cols>
  <sheetData>
    <row r="1" spans="1:5" ht="38.25" customHeight="1">
      <c r="A1" s="178" t="s">
        <v>355</v>
      </c>
      <c r="B1" s="178"/>
      <c r="C1" s="178"/>
      <c r="D1" s="178"/>
      <c r="E1" s="143">
        <v>104.1</v>
      </c>
    </row>
    <row r="2" spans="1:5" ht="18.75">
      <c r="A2" s="179" t="s">
        <v>353</v>
      </c>
      <c r="B2" s="179"/>
      <c r="C2" s="179"/>
      <c r="D2" s="179"/>
      <c r="E2" s="143">
        <v>103.9</v>
      </c>
    </row>
    <row r="3" spans="1:5" ht="18.75">
      <c r="A3" s="179" t="s">
        <v>38</v>
      </c>
      <c r="B3" s="179"/>
      <c r="C3" s="179"/>
      <c r="D3" s="179"/>
      <c r="E3" s="143">
        <v>111.94</v>
      </c>
    </row>
  </sheetData>
  <mergeCells count="3">
    <mergeCell ref="A1:D1"/>
    <mergeCell ref="A2:D2"/>
    <mergeCell ref="A3:D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7</vt:i4>
      </vt:variant>
    </vt:vector>
  </HeadingPairs>
  <TitlesOfParts>
    <vt:vector size="7" baseType="lpstr">
      <vt:lpstr>2022</vt:lpstr>
      <vt:lpstr>Реестр</vt:lpstr>
      <vt:lpstr>500</vt:lpstr>
      <vt:lpstr>Кпр</vt:lpstr>
      <vt:lpstr>Кзпi Кзп</vt:lpstr>
      <vt:lpstr>КЗп, КЗ, КЗЧ</vt:lpstr>
      <vt:lpstr>Индексы</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Осмакова АВ</dc:creator>
  <cp:lastModifiedBy>Пользователь Windows</cp:lastModifiedBy>
  <cp:lastPrinted>2023-03-13T09:33:27Z</cp:lastPrinted>
  <dcterms:created xsi:type="dcterms:W3CDTF">2015-06-05T18:19:34Z</dcterms:created>
  <dcterms:modified xsi:type="dcterms:W3CDTF">2023-03-15T09:18:53Z</dcterms:modified>
</cp:coreProperties>
</file>