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Матвеева ОР\Desktop\Мои Документы\БАЛАНСОВАЯ КОМИССИЯ\Автоперевозка пассажиров -НМЦК по годам расчет\НМЦК ПАП 2025\НМЦК 2025 с июня по декабрь\НМЦК 2025- 7 месяцев\"/>
    </mc:Choice>
  </mc:AlternateContent>
  <xr:revisionPtr revIDLastSave="0" documentId="13_ncr:1_{2772F320-E30D-4EB5-96F8-5C4B1A3801FF}" xr6:coauthVersionLast="37" xr6:coauthVersionMax="37" xr10:uidLastSave="{00000000-0000-0000-0000-000000000000}"/>
  <bookViews>
    <workbookView xWindow="0" yWindow="0" windowWidth="21570" windowHeight="7380" firstSheet="1" activeTab="1" xr2:uid="{00000000-000D-0000-FFFF-FFFF00000000}"/>
  </bookViews>
  <sheets>
    <sheet name="2022" sheetId="5" state="hidden" r:id="rId1"/>
    <sheet name="Реестр" sheetId="13" r:id="rId2"/>
    <sheet name="121" sheetId="6" r:id="rId3"/>
    <sheet name="122" sheetId="7" r:id="rId4"/>
    <sheet name="500" sheetId="9" r:id="rId5"/>
    <sheet name="501" sheetId="10" r:id="rId6"/>
    <sheet name="504" sheetId="12" r:id="rId7"/>
    <sheet name="502" sheetId="11" r:id="rId8"/>
    <sheet name="Кзпi Кзп" sheetId="2" r:id="rId9"/>
    <sheet name="КЗп, КЗ, КЗЧ" sheetId="3" r:id="rId10"/>
    <sheet name="Индексы" sheetId="14" r:id="rId11"/>
    <sheet name="Кпр" sheetId="15" r:id="rId1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3" i="10" l="1"/>
  <c r="F93" i="9"/>
  <c r="F84" i="12"/>
  <c r="F86" i="12"/>
  <c r="F85" i="9"/>
  <c r="F85" i="10"/>
  <c r="F84" i="7"/>
  <c r="F92" i="6"/>
  <c r="F73" i="6"/>
  <c r="F85" i="6"/>
  <c r="F84" i="6"/>
  <c r="F86" i="10" l="1"/>
  <c r="F87" i="10" s="1"/>
  <c r="F86" i="9"/>
  <c r="F84" i="11" l="1"/>
  <c r="F76" i="7" l="1"/>
  <c r="F85" i="7" s="1"/>
  <c r="F6" i="7"/>
  <c r="F92" i="7" l="1"/>
  <c r="F85" i="11"/>
  <c r="L7" i="13" l="1"/>
  <c r="L8" i="13"/>
  <c r="L9" i="13"/>
  <c r="L10" i="13"/>
  <c r="L11" i="13"/>
  <c r="L6" i="13"/>
  <c r="L12" i="13" l="1"/>
  <c r="F27" i="10"/>
  <c r="F27" i="11" s="1"/>
  <c r="G9" i="9"/>
  <c r="G9" i="10" s="1"/>
  <c r="G9" i="11" s="1"/>
  <c r="G9" i="12" s="1"/>
  <c r="G49" i="6"/>
  <c r="G49" i="7"/>
  <c r="G49" i="9" s="1"/>
  <c r="G47" i="7"/>
  <c r="G47" i="9" s="1"/>
  <c r="G47" i="10" s="1"/>
  <c r="G47" i="11" s="1"/>
  <c r="F33" i="7"/>
  <c r="G14" i="7"/>
  <c r="G14" i="9" s="1"/>
  <c r="G14" i="10" s="1"/>
  <c r="G14" i="11" s="1"/>
  <c r="F47" i="6"/>
  <c r="G49" i="11" l="1"/>
  <c r="G49" i="12" s="1"/>
  <c r="G49" i="10"/>
  <c r="G47" i="12"/>
  <c r="G14" i="12"/>
  <c r="F48" i="6" l="1"/>
  <c r="F85" i="12" l="1"/>
  <c r="F86" i="11"/>
  <c r="F87" i="9"/>
  <c r="F86" i="7"/>
  <c r="F86" i="6"/>
  <c r="F26" i="10"/>
  <c r="F59" i="12" l="1"/>
  <c r="F54" i="12"/>
  <c r="F49" i="12"/>
  <c r="F48" i="12" s="1"/>
  <c r="F38" i="12"/>
  <c r="F66" i="12" s="1"/>
  <c r="F26" i="12"/>
  <c r="F36" i="12" s="1"/>
  <c r="F64" i="12" s="1"/>
  <c r="F8" i="12"/>
  <c r="F6" i="12" s="1"/>
  <c r="F59" i="11"/>
  <c r="F54" i="11"/>
  <c r="F49" i="11"/>
  <c r="F48" i="11" s="1"/>
  <c r="F38" i="11"/>
  <c r="F66" i="11" s="1"/>
  <c r="F26" i="11"/>
  <c r="F36" i="11" s="1"/>
  <c r="F8" i="11"/>
  <c r="F6" i="11" s="1"/>
  <c r="F22" i="11" s="1"/>
  <c r="F59" i="10"/>
  <c r="F57" i="10" s="1"/>
  <c r="F54" i="10"/>
  <c r="F49" i="10"/>
  <c r="F48" i="10" s="1"/>
  <c r="F43" i="10" s="1"/>
  <c r="F38" i="10"/>
  <c r="F66" i="10" s="1"/>
  <c r="F36" i="10"/>
  <c r="F8" i="10"/>
  <c r="F6" i="10" s="1"/>
  <c r="F22" i="10" s="1"/>
  <c r="F59" i="9"/>
  <c r="F54" i="9"/>
  <c r="F49" i="9"/>
  <c r="F48" i="9" s="1"/>
  <c r="F38" i="9"/>
  <c r="F66" i="9" s="1"/>
  <c r="F26" i="9"/>
  <c r="F36" i="9" s="1"/>
  <c r="F8" i="9"/>
  <c r="F43" i="12" l="1"/>
  <c r="F6" i="9"/>
  <c r="F22" i="9" s="1"/>
  <c r="F43" i="9"/>
  <c r="F42" i="10"/>
  <c r="F67" i="10" s="1"/>
  <c r="F43" i="11"/>
  <c r="F57" i="12"/>
  <c r="F35" i="12"/>
  <c r="F65" i="12" s="1"/>
  <c r="F18" i="12"/>
  <c r="F23" i="12" s="1"/>
  <c r="F22" i="12"/>
  <c r="F64" i="11"/>
  <c r="F35" i="11"/>
  <c r="F65" i="11" s="1"/>
  <c r="F57" i="11"/>
  <c r="F18" i="11"/>
  <c r="F23" i="11" s="1"/>
  <c r="F21" i="11" s="1"/>
  <c r="F64" i="10"/>
  <c r="F35" i="10"/>
  <c r="F65" i="10" s="1"/>
  <c r="F18" i="10"/>
  <c r="F23" i="10" s="1"/>
  <c r="F21" i="10" s="1"/>
  <c r="F64" i="9"/>
  <c r="F35" i="9"/>
  <c r="F65" i="9" s="1"/>
  <c r="F57" i="9"/>
  <c r="F42" i="12" l="1"/>
  <c r="F67" i="12" s="1"/>
  <c r="F62" i="12" s="1"/>
  <c r="F18" i="9"/>
  <c r="F23" i="9" s="1"/>
  <c r="F21" i="9" s="1"/>
  <c r="F42" i="11"/>
  <c r="F67" i="11" s="1"/>
  <c r="F62" i="11" s="1"/>
  <c r="F69" i="11" s="1"/>
  <c r="F74" i="11" s="1"/>
  <c r="F42" i="9"/>
  <c r="F67" i="9" s="1"/>
  <c r="F62" i="9" s="1"/>
  <c r="F21" i="12"/>
  <c r="F62" i="10"/>
  <c r="F69" i="10" s="1"/>
  <c r="F75" i="10" s="1"/>
  <c r="F74" i="10" s="1"/>
  <c r="F69" i="9" l="1"/>
  <c r="F75" i="9" s="1"/>
  <c r="F74" i="9" s="1"/>
  <c r="F73" i="11"/>
  <c r="F92" i="11" s="1"/>
  <c r="E9" i="13"/>
  <c r="F69" i="12"/>
  <c r="F74" i="12" s="1"/>
  <c r="E8" i="13" l="1"/>
  <c r="E10" i="13"/>
  <c r="F73" i="12"/>
  <c r="F92" i="12" s="1"/>
  <c r="F59" i="7"/>
  <c r="F54" i="7"/>
  <c r="F49" i="7"/>
  <c r="F48" i="7" s="1"/>
  <c r="F60" i="7"/>
  <c r="F26" i="7"/>
  <c r="F36" i="7" s="1"/>
  <c r="F8" i="7"/>
  <c r="F22" i="7" s="1"/>
  <c r="F59" i="6"/>
  <c r="F54" i="6"/>
  <c r="F38" i="6"/>
  <c r="F66" i="6" s="1"/>
  <c r="F26" i="6"/>
  <c r="F36" i="6" s="1"/>
  <c r="F8" i="6"/>
  <c r="F6" i="6" s="1"/>
  <c r="F57" i="7" l="1"/>
  <c r="F43" i="7"/>
  <c r="F18" i="7"/>
  <c r="F23" i="7" s="1"/>
  <c r="F21" i="7" s="1"/>
  <c r="F35" i="7"/>
  <c r="F65" i="7" s="1"/>
  <c r="F64" i="7"/>
  <c r="F38" i="7"/>
  <c r="F66" i="7" s="1"/>
  <c r="F57" i="6"/>
  <c r="F43" i="6"/>
  <c r="F64" i="6"/>
  <c r="F35" i="6"/>
  <c r="F65" i="6" s="1"/>
  <c r="F22" i="6"/>
  <c r="F18" i="6"/>
  <c r="F23" i="6" s="1"/>
  <c r="E39" i="5"/>
  <c r="F42" i="7" l="1"/>
  <c r="F67" i="7" s="1"/>
  <c r="F62" i="7" s="1"/>
  <c r="F42" i="6"/>
  <c r="F67" i="6" s="1"/>
  <c r="F62" i="6" s="1"/>
  <c r="F21" i="6"/>
  <c r="E37" i="5"/>
  <c r="E46" i="5"/>
  <c r="E48" i="5"/>
  <c r="E47" i="5" s="1"/>
  <c r="E65" i="5"/>
  <c r="E59" i="5"/>
  <c r="E58" i="5"/>
  <c r="E53" i="5"/>
  <c r="E25" i="5"/>
  <c r="E35" i="5" s="1"/>
  <c r="E7" i="5"/>
  <c r="F69" i="7" l="1"/>
  <c r="F74" i="7" s="1"/>
  <c r="F69" i="6"/>
  <c r="F74" i="6" s="1"/>
  <c r="E42" i="5"/>
  <c r="E56" i="5"/>
  <c r="E63" i="5"/>
  <c r="E34" i="5"/>
  <c r="E64" i="5" s="1"/>
  <c r="E5" i="5"/>
  <c r="E17" i="5" s="1"/>
  <c r="F73" i="7" l="1"/>
  <c r="E41" i="5"/>
  <c r="E66" i="5" s="1"/>
  <c r="E61" i="5" s="1"/>
  <c r="E22" i="5"/>
  <c r="E21" i="5"/>
  <c r="E7" i="13" l="1"/>
  <c r="F87" i="7"/>
  <c r="E20" i="5"/>
  <c r="E68" i="5" s="1"/>
  <c r="E73" i="5" s="1"/>
  <c r="E72" i="5" s="1"/>
  <c r="E91" i="5" l="1"/>
  <c r="E6" i="13"/>
  <c r="E11" i="13"/>
  <c r="E12" i="13" l="1"/>
</calcChain>
</file>

<file path=xl/sharedStrings.xml><?xml version="1.0" encoding="utf-8"?>
<sst xmlns="http://schemas.openxmlformats.org/spreadsheetml/2006/main" count="2690" uniqueCount="398">
  <si>
    <t>Расчет себестоимости 1 км пробега автобуса</t>
  </si>
  <si>
    <t>№ п/п</t>
  </si>
  <si>
    <t>Наименование показателя</t>
  </si>
  <si>
    <t>Обозначение показателя</t>
  </si>
  <si>
    <t>Ед. изм.</t>
  </si>
  <si>
    <t>Значение</t>
  </si>
  <si>
    <t>Примечание</t>
  </si>
  <si>
    <t>I</t>
  </si>
  <si>
    <t>час</t>
  </si>
  <si>
    <t>Расходы на оплату труда водителей транспортных средств на 1 км пробега</t>
  </si>
  <si>
    <r>
      <t>Poтв</t>
    </r>
    <r>
      <rPr>
        <b/>
        <vertAlign val="subscript"/>
        <sz val="11"/>
        <color theme="1"/>
        <rFont val="Times New Roman"/>
        <family val="1"/>
        <charset val="204"/>
      </rPr>
      <t>ti</t>
    </r>
  </si>
  <si>
    <t>руб./км</t>
  </si>
  <si>
    <t xml:space="preserve"> - </t>
  </si>
  <si>
    <t xml:space="preserve"> 1.1</t>
  </si>
  <si>
    <t>Количество месяцев в году</t>
  </si>
  <si>
    <t>шт.</t>
  </si>
  <si>
    <t xml:space="preserve"> -</t>
  </si>
  <si>
    <t>Lti</t>
  </si>
  <si>
    <t>Планируемый пробег транспортного средства</t>
  </si>
  <si>
    <t>км</t>
  </si>
  <si>
    <t xml:space="preserve"> 1.3</t>
  </si>
  <si>
    <t>руб.</t>
  </si>
  <si>
    <t xml:space="preserve"> 1.3.1</t>
  </si>
  <si>
    <t>Среднемесячная номинальная начисленная заработная плата работников крупных и средних предприятий</t>
  </si>
  <si>
    <t>СЗП</t>
  </si>
  <si>
    <t xml:space="preserve"> 1.3.2</t>
  </si>
  <si>
    <t xml:space="preserve">Коэффициент, учитывающий дифференциацию заработной платы водителей в зависимости от класса транспортного средства и вида маршрутов </t>
  </si>
  <si>
    <t>Кзпi</t>
  </si>
  <si>
    <t xml:space="preserve"> 1.3.3</t>
  </si>
  <si>
    <t xml:space="preserve">Коэффициент, учитывающий особенности рынка труда в городах с численностью населения свыше миллиона человек </t>
  </si>
  <si>
    <t>Км</t>
  </si>
  <si>
    <t>применяется для городов только свыше миллиона человек</t>
  </si>
  <si>
    <t xml:space="preserve"> 1.4</t>
  </si>
  <si>
    <t>Планируемое количество часов работы транспортного средства в год</t>
  </si>
  <si>
    <t>АЧti</t>
  </si>
  <si>
    <t xml:space="preserve"> 1.5</t>
  </si>
  <si>
    <t>Кпз</t>
  </si>
  <si>
    <t xml:space="preserve"> 1.6</t>
  </si>
  <si>
    <t>Индекс потребительских цен</t>
  </si>
  <si>
    <r>
      <t>Iпц</t>
    </r>
    <r>
      <rPr>
        <b/>
        <vertAlign val="subscript"/>
        <sz val="11"/>
        <color theme="1"/>
        <rFont val="Times New Roman"/>
        <family val="1"/>
        <charset val="204"/>
      </rPr>
      <t>t</t>
    </r>
  </si>
  <si>
    <t xml:space="preserve">индекс потребительских цен из прогноза Минэкономразвития РФ </t>
  </si>
  <si>
    <t xml:space="preserve"> 1.7 </t>
  </si>
  <si>
    <t xml:space="preserve"> 1.8 </t>
  </si>
  <si>
    <t>Годовой фонд рабочего времени ремонтного рабочего</t>
  </si>
  <si>
    <t>ФРВрр</t>
  </si>
  <si>
    <t>II</t>
  </si>
  <si>
    <t>Расходы на оплату труда кондукторов на 1 км пробега</t>
  </si>
  <si>
    <r>
      <t>Poтк</t>
    </r>
    <r>
      <rPr>
        <b/>
        <vertAlign val="subscript"/>
        <sz val="11"/>
        <color theme="1"/>
        <rFont val="Times New Roman"/>
        <family val="1"/>
        <charset val="204"/>
      </rPr>
      <t>ti</t>
    </r>
  </si>
  <si>
    <t>III</t>
  </si>
  <si>
    <t>Отчисления на соц нужды от оплаты труда водителей и кондукторов</t>
  </si>
  <si>
    <t>Сpti</t>
  </si>
  <si>
    <t xml:space="preserve"> 3.1</t>
  </si>
  <si>
    <t>Расходы на оплату труда водителей на 1 км пробега</t>
  </si>
  <si>
    <t xml:space="preserve"> 3.2</t>
  </si>
  <si>
    <t xml:space="preserve"> 3.3</t>
  </si>
  <si>
    <t>Сумарный тариф отчислений на социальные нужды</t>
  </si>
  <si>
    <t>Стс</t>
  </si>
  <si>
    <t>%</t>
  </si>
  <si>
    <t>30 % + 0,2 % первый класс профессионального риска, %</t>
  </si>
  <si>
    <t>IV</t>
  </si>
  <si>
    <t>Расходы на топливо на 1 км пробега</t>
  </si>
  <si>
    <r>
      <t>P</t>
    </r>
    <r>
      <rPr>
        <b/>
        <vertAlign val="subscript"/>
        <sz val="11"/>
        <color theme="1"/>
        <rFont val="Times New Roman"/>
        <family val="1"/>
        <charset val="204"/>
      </rPr>
      <t>Tti</t>
    </r>
  </si>
  <si>
    <t xml:space="preserve"> 4.1</t>
  </si>
  <si>
    <t>Цена 1 л топлива</t>
  </si>
  <si>
    <t>Цтi</t>
  </si>
  <si>
    <t xml:space="preserve"> 4.2</t>
  </si>
  <si>
    <t>л/ 100 км</t>
  </si>
  <si>
    <t xml:space="preserve"> 4.3</t>
  </si>
  <si>
    <t>Поправочный коэффициент</t>
  </si>
  <si>
    <t>D</t>
  </si>
  <si>
    <t>определяется в соответствии с п.40 Инструкции по учету доходов и расходов по обычным видам деятельности на автотранспорте, утвержденной  приказом Минтранса России от 24.06.2003 № 153.                                                                          Транспортная норма в литрах на 100 км (л/100 км) пробега при проведении транспортной работы: автобуса, где учитывается снаряженная масса и нормируемая по назначению автобуса номинальная загрузка пассажиров</t>
  </si>
  <si>
    <t xml:space="preserve"> 4.4</t>
  </si>
  <si>
    <t xml:space="preserve">Норма расхода топлива на работу отопителей салона  </t>
  </si>
  <si>
    <t>л/ч</t>
  </si>
  <si>
    <t xml:space="preserve"> 4.5</t>
  </si>
  <si>
    <t>Планируемая в соответствии с расписанием эксплуатационная скорость</t>
  </si>
  <si>
    <t>Vэ</t>
  </si>
  <si>
    <t>км/ч</t>
  </si>
  <si>
    <t xml:space="preserve"> 4.6</t>
  </si>
  <si>
    <t>Принимаемое в соответствии с условиями контракта количество месяцев работы отопителя салона</t>
  </si>
  <si>
    <t>Nз</t>
  </si>
  <si>
    <t xml:space="preserve"> 4.7</t>
  </si>
  <si>
    <t>Индекс цен производителей нефтепродуктов</t>
  </si>
  <si>
    <r>
      <t>I</t>
    </r>
    <r>
      <rPr>
        <b/>
        <vertAlign val="subscript"/>
        <sz val="11"/>
        <color theme="1"/>
        <rFont val="Times New Roman"/>
        <family val="1"/>
        <charset val="204"/>
      </rPr>
      <t>Tt</t>
    </r>
  </si>
  <si>
    <t>V</t>
  </si>
  <si>
    <t xml:space="preserve">Расходы на смазочные и прочие эксплуатационные материалы </t>
  </si>
  <si>
    <r>
      <t>P</t>
    </r>
    <r>
      <rPr>
        <b/>
        <vertAlign val="subscript"/>
        <sz val="11"/>
        <color theme="1"/>
        <rFont val="Times New Roman"/>
        <family val="1"/>
        <charset val="204"/>
      </rPr>
      <t>CMti</t>
    </r>
  </si>
  <si>
    <t xml:space="preserve"> 5.1</t>
  </si>
  <si>
    <t>определено в пункте 4</t>
  </si>
  <si>
    <t>VI</t>
  </si>
  <si>
    <t>Расходы на износ и ремонт шин</t>
  </si>
  <si>
    <r>
      <t>P</t>
    </r>
    <r>
      <rPr>
        <b/>
        <vertAlign val="subscript"/>
        <sz val="11"/>
        <color theme="1"/>
        <rFont val="Times New Roman"/>
        <family val="1"/>
        <charset val="204"/>
      </rPr>
      <t>шti</t>
    </r>
  </si>
  <si>
    <t xml:space="preserve"> 6.1</t>
  </si>
  <si>
    <t>Базовые удельные расходы на шины</t>
  </si>
  <si>
    <r>
      <t>У</t>
    </r>
    <r>
      <rPr>
        <b/>
        <vertAlign val="subscript"/>
        <sz val="11"/>
        <color theme="1"/>
        <rFont val="Times New Roman"/>
        <family val="1"/>
        <charset val="204"/>
      </rPr>
      <t>шi</t>
    </r>
  </si>
  <si>
    <t xml:space="preserve"> 6.2</t>
  </si>
  <si>
    <t>Индекс цен на машины и оборудование</t>
  </si>
  <si>
    <r>
      <t>I</t>
    </r>
    <r>
      <rPr>
        <b/>
        <vertAlign val="subscript"/>
        <sz val="11"/>
        <color theme="1"/>
        <rFont val="Times New Roman"/>
        <family val="1"/>
        <charset val="204"/>
      </rPr>
      <t>мt</t>
    </r>
  </si>
  <si>
    <t>произведение индекса цен машин и оборудования по данным Росстата на прогнозный индекс цен определяемыйМинэком РФ в прогнозе социально-экономического развития</t>
  </si>
  <si>
    <t>VII</t>
  </si>
  <si>
    <t xml:space="preserve"> 7. </t>
  </si>
  <si>
    <t xml:space="preserve">Расходы на ТО и ремонт </t>
  </si>
  <si>
    <r>
      <t>P</t>
    </r>
    <r>
      <rPr>
        <b/>
        <vertAlign val="subscript"/>
        <sz val="11"/>
        <color theme="1"/>
        <rFont val="Times New Roman"/>
        <family val="1"/>
        <charset val="204"/>
      </rPr>
      <t>TOti</t>
    </r>
  </si>
  <si>
    <t xml:space="preserve"> 7.1</t>
  </si>
  <si>
    <t>Расходы на оплату труда ремонтных рабочих с отчислениями на соц нужды (11)</t>
  </si>
  <si>
    <t>ФОТppi</t>
  </si>
  <si>
    <t xml:space="preserve"> 7.1.1</t>
  </si>
  <si>
    <t>Коэффициент приведения базовой удельной трудоемкости технического обслуживания и ремонта транспортных средств к 1 км пробега</t>
  </si>
  <si>
    <t xml:space="preserve"> 7.1.2</t>
  </si>
  <si>
    <t xml:space="preserve"> 7.1.3</t>
  </si>
  <si>
    <t xml:space="preserve"> 7.1.4</t>
  </si>
  <si>
    <t xml:space="preserve"> 7.2</t>
  </si>
  <si>
    <t>ЗПР</t>
  </si>
  <si>
    <r>
      <t>СЗП*К</t>
    </r>
    <r>
      <rPr>
        <vertAlign val="subscript"/>
        <sz val="11"/>
        <color theme="1"/>
        <rFont val="Times New Roman"/>
        <family val="1"/>
        <charset val="204"/>
      </rPr>
      <t xml:space="preserve">зпi </t>
    </r>
    <r>
      <rPr>
        <sz val="11"/>
        <color theme="1"/>
        <rFont val="Times New Roman"/>
        <family val="1"/>
        <charset val="204"/>
      </rPr>
      <t>для ремонтного рабочего*К</t>
    </r>
    <r>
      <rPr>
        <vertAlign val="subscript"/>
        <sz val="11"/>
        <color theme="1"/>
        <rFont val="Times New Roman"/>
        <family val="1"/>
        <charset val="204"/>
      </rPr>
      <t xml:space="preserve">м </t>
    </r>
    <r>
      <rPr>
        <sz val="11"/>
        <color theme="1"/>
        <rFont val="Times New Roman"/>
        <family val="1"/>
        <charset val="204"/>
      </rPr>
      <t>(12)</t>
    </r>
  </si>
  <si>
    <t xml:space="preserve"> 7.2.1</t>
  </si>
  <si>
    <t>Среднемесячная номинальная начисленная заработная плата работников крупных и средних предприятий некоммерческих организаций всех отраслей экономики за  ближайший истекший отчетный период</t>
  </si>
  <si>
    <t xml:space="preserve"> 7.2.2</t>
  </si>
  <si>
    <t xml:space="preserve"> 7.2.3</t>
  </si>
  <si>
    <t xml:space="preserve"> 7.3</t>
  </si>
  <si>
    <t>Базовая удельная трудоемкость технического обслуживания транспортных средств</t>
  </si>
  <si>
    <t>Ттi</t>
  </si>
  <si>
    <t>из таблицы 2 порядка</t>
  </si>
  <si>
    <t xml:space="preserve"> 7.5 </t>
  </si>
  <si>
    <t>Базовая удельная трудоемкость текущего ремонта ТС</t>
  </si>
  <si>
    <t>Tpi</t>
  </si>
  <si>
    <t xml:space="preserve"> 7.6</t>
  </si>
  <si>
    <t xml:space="preserve"> 7.7</t>
  </si>
  <si>
    <t xml:space="preserve"> 7.8</t>
  </si>
  <si>
    <t xml:space="preserve"> 7.9 </t>
  </si>
  <si>
    <t>Расходы на запасные части и материалы, используемые при ТО и ремонте транспортных средств (13)</t>
  </si>
  <si>
    <r>
      <t>P</t>
    </r>
    <r>
      <rPr>
        <b/>
        <vertAlign val="subscript"/>
        <sz val="11"/>
        <color theme="1"/>
        <rFont val="Times New Roman"/>
        <family val="1"/>
        <charset val="204"/>
      </rPr>
      <t>ЗЧti</t>
    </r>
  </si>
  <si>
    <t xml:space="preserve"> 7.9.1</t>
  </si>
  <si>
    <t xml:space="preserve">Базовые удельные расходы на запчасти </t>
  </si>
  <si>
    <t>Узчi км</t>
  </si>
  <si>
    <t xml:space="preserve"> 7.9.2</t>
  </si>
  <si>
    <t>Кзч</t>
  </si>
  <si>
    <t>произведение индекса цен машин и оборудования по данным Росстата на прогнозный индекс цен определяемый Минэком РФ в прогнозе социально-экономического развития</t>
  </si>
  <si>
    <t>VIII</t>
  </si>
  <si>
    <t>Прочие расходы по обычным видам деятельности в сумме с косвенными расходами для транспортных средств (14)</t>
  </si>
  <si>
    <t xml:space="preserve">Прочие расходы по обычным видам деятельности в сумме с косвенными расходами для транспортных средств </t>
  </si>
  <si>
    <t>ПКРti</t>
  </si>
  <si>
    <t xml:space="preserve"> 8.1</t>
  </si>
  <si>
    <t>Отношение суммы прочих расходов по обычным видам деятельности и косвенных расхдов к переменным расходам</t>
  </si>
  <si>
    <t>Кпр</t>
  </si>
  <si>
    <t>доля</t>
  </si>
  <si>
    <t>из таблицы 3 порядка</t>
  </si>
  <si>
    <t xml:space="preserve"> 8.2</t>
  </si>
  <si>
    <t xml:space="preserve"> 8.3</t>
  </si>
  <si>
    <t xml:space="preserve"> 8.4 </t>
  </si>
  <si>
    <t xml:space="preserve"> 8.5</t>
  </si>
  <si>
    <t>IX</t>
  </si>
  <si>
    <t>Максимальная себестоимость 1 км пробега транспортных средств за год контракта (1)</t>
  </si>
  <si>
    <t>max себестоимость 1 км пробега</t>
  </si>
  <si>
    <r>
      <t>S</t>
    </r>
    <r>
      <rPr>
        <b/>
        <vertAlign val="subscript"/>
        <sz val="11"/>
        <color theme="1"/>
        <rFont val="Times New Roman"/>
        <family val="1"/>
        <charset val="204"/>
      </rPr>
      <t>ti</t>
    </r>
  </si>
  <si>
    <r>
      <t>Poтвti+Poткt+Сpti+Ptti+P</t>
    </r>
    <r>
      <rPr>
        <vertAlign val="subscript"/>
        <sz val="11"/>
        <color theme="1"/>
        <rFont val="Times New Roman"/>
        <family val="1"/>
        <charset val="204"/>
      </rPr>
      <t>CMti</t>
    </r>
    <r>
      <rPr>
        <sz val="11"/>
        <color theme="1"/>
        <rFont val="Times New Roman"/>
        <family val="1"/>
        <charset val="204"/>
      </rPr>
      <t>+P</t>
    </r>
    <r>
      <rPr>
        <vertAlign val="subscript"/>
        <sz val="11"/>
        <color theme="1"/>
        <rFont val="Times New Roman"/>
        <family val="1"/>
        <charset val="204"/>
      </rPr>
      <t>шti</t>
    </r>
    <r>
      <rPr>
        <sz val="11"/>
        <color theme="1"/>
        <rFont val="Times New Roman"/>
        <family val="1"/>
        <charset val="204"/>
      </rPr>
      <t>+P</t>
    </r>
    <r>
      <rPr>
        <vertAlign val="subscript"/>
        <sz val="11"/>
        <color theme="1"/>
        <rFont val="Times New Roman"/>
        <family val="1"/>
        <charset val="204"/>
      </rPr>
      <t>TOti</t>
    </r>
    <r>
      <rPr>
        <sz val="11"/>
        <color theme="1"/>
        <rFont val="Times New Roman"/>
        <family val="1"/>
        <charset val="204"/>
      </rPr>
      <t>+ПКРti (1)</t>
    </r>
  </si>
  <si>
    <t>Определение начальной (максимальной) цены контракта</t>
  </si>
  <si>
    <t>Максимальная стоимость работы транспортного средства (7.1)</t>
  </si>
  <si>
    <t>Сi</t>
  </si>
  <si>
    <t xml:space="preserve"> 10.1</t>
  </si>
  <si>
    <t>max себестоимость 1 км пробега (1)</t>
  </si>
  <si>
    <t xml:space="preserve"> 10.2</t>
  </si>
  <si>
    <t>Уровень рентабельности, обеспечивающий экономически устойчивую деятельности</t>
  </si>
  <si>
    <t xml:space="preserve"> 10.3</t>
  </si>
  <si>
    <t xml:space="preserve"> 10.4</t>
  </si>
  <si>
    <t xml:space="preserve">Коэффициент использования пробега </t>
  </si>
  <si>
    <t>В</t>
  </si>
  <si>
    <t xml:space="preserve"> 10.5</t>
  </si>
  <si>
    <t xml:space="preserve"> 10.6</t>
  </si>
  <si>
    <t>Мi</t>
  </si>
  <si>
    <t>ед.</t>
  </si>
  <si>
    <t>количество единиц транспортных средств, используемых на маршруте</t>
  </si>
  <si>
    <t xml:space="preserve"> 10.7</t>
  </si>
  <si>
    <t>Средняя рыночная стоимость транспортных средств (8.1)</t>
  </si>
  <si>
    <t>Цi</t>
  </si>
  <si>
    <t>определяется как среднеарифметическое значение цен, указанных в полученных по запросу заказчика ответах поставщиков данных транспортных средств</t>
  </si>
  <si>
    <t xml:space="preserve"> 10.8</t>
  </si>
  <si>
    <t>Срок полезного использования транспортных средств</t>
  </si>
  <si>
    <t>Тni</t>
  </si>
  <si>
    <t>лет</t>
  </si>
  <si>
    <t xml:space="preserve"> 10.9</t>
  </si>
  <si>
    <t>Индекс цен на машины и оборудования</t>
  </si>
  <si>
    <t>Imot</t>
  </si>
  <si>
    <t>-</t>
  </si>
  <si>
    <t>принимается равным прогнозному индексу цен производителей машин и оборудования, определяемому определяемый Минэком РФ в прогнозе социально-экономического развития</t>
  </si>
  <si>
    <t>Общее количество месяцев исполнения контрактов, в том числе неполных</t>
  </si>
  <si>
    <t>r</t>
  </si>
  <si>
    <t>ПВjt</t>
  </si>
  <si>
    <t>место-км</t>
  </si>
  <si>
    <t>Ljti * Qi</t>
  </si>
  <si>
    <t>ПВjo</t>
  </si>
  <si>
    <t>Ljoi * Qi</t>
  </si>
  <si>
    <t>П</t>
  </si>
  <si>
    <t>Индекс изменения тарифов</t>
  </si>
  <si>
    <t>It</t>
  </si>
  <si>
    <t>НМЦК</t>
  </si>
  <si>
    <t>N п/п</t>
  </si>
  <si>
    <t>Категория работника</t>
  </si>
  <si>
    <t>Прочие маршруты</t>
  </si>
  <si>
    <t>с 01.01.2022</t>
  </si>
  <si>
    <t>Водитель автобуса особо малого класса</t>
  </si>
  <si>
    <t>Водитель автобуса малого класса</t>
  </si>
  <si>
    <t>Водитель автобуса среднего класса</t>
  </si>
  <si>
    <t>Водитель автобуса большого класса</t>
  </si>
  <si>
    <t>Водитель автобуса особо большого класса</t>
  </si>
  <si>
    <t>Кондуктор</t>
  </si>
  <si>
    <t>Ремонтный рабочий</t>
  </si>
  <si>
    <t>ЗПВi</t>
  </si>
  <si>
    <t>ФРВв</t>
  </si>
  <si>
    <r>
      <t>Poтк</t>
    </r>
    <r>
      <rPr>
        <b/>
        <vertAlign val="subscript"/>
        <sz val="11"/>
        <color theme="1"/>
        <rFont val="Times New Roman"/>
        <family val="1"/>
        <charset val="204"/>
      </rPr>
      <t>t</t>
    </r>
  </si>
  <si>
    <t>Субъект Российской Федерации</t>
  </si>
  <si>
    <t>КЗп</t>
  </si>
  <si>
    <t>КЗ</t>
  </si>
  <si>
    <t>КЗЧ</t>
  </si>
  <si>
    <t>Республика Дагестан, Республика Северная Осетия - Алания, Чеченская Республика, Республика Ингушетия, Республика Крым, Кабардино-Балкарская Республика; Краснодарский и Ставропольский края; Калининградская и Ростовская области; город федерального значения Севастополь</t>
  </si>
  <si>
    <t>Республика Башкортостан, Удмуртская Республика; Пермский край; Курганская, Свердловская, Челябинская области</t>
  </si>
  <si>
    <t>Республика Саха (Якутия), Магаданская область, Чукотский автономный округ</t>
  </si>
  <si>
    <t>Прочие</t>
  </si>
  <si>
    <r>
      <t>К</t>
    </r>
    <r>
      <rPr>
        <b/>
        <vertAlign val="subscript"/>
        <sz val="11"/>
        <color theme="1"/>
        <rFont val="Times New Roman"/>
        <family val="1"/>
        <charset val="204"/>
      </rPr>
      <t>зп</t>
    </r>
  </si>
  <si>
    <t xml:space="preserve">Индекс цен производителей нефтепродуктов из прогноза Минэкономразвития РФ </t>
  </si>
  <si>
    <t>мес.</t>
  </si>
  <si>
    <t>мес</t>
  </si>
  <si>
    <t>Предусмотренный контрактом суммарный планируемый пробег транспортных средств всех классов в t-ом году срока действия контракта на данном маршруте, тыс. км</t>
  </si>
  <si>
    <t>До 50</t>
  </si>
  <si>
    <t>Свыше 50 до 150</t>
  </si>
  <si>
    <t>Свыше 150 до 850</t>
  </si>
  <si>
    <t>Свыше 850 до 1650</t>
  </si>
  <si>
    <t>Свыше 1650 до 2450</t>
  </si>
  <si>
    <t>Свыше 2450 до 3250</t>
  </si>
  <si>
    <t>Свыше 3250 до 4050</t>
  </si>
  <si>
    <t>Свыше 4050 до 4850</t>
  </si>
  <si>
    <t>Свыше 4850 до 5650</t>
  </si>
  <si>
    <t>Сoi</t>
  </si>
  <si>
    <t>Ссуб</t>
  </si>
  <si>
    <t>расходы подрядчика, связанные с приобретением и установкой в транспортных средствах i-го класса оборудования и программного обеспечения для использования информационной системы навигации, оборудования для организации автоматизированной системы контроля за оплатой проезда, а также плановые расходы на их эксплуатацию и (или) оплату услуг операторов информационной системы навигации и автоматизированной системы контроля за оплатой проезда в случае, если контрактом предусмотрено, что приобретение, установка и эксплуатация такого оборудования и (или) оплата услуг таких операторов осуществляется за счет подрядчика, руб.;</t>
  </si>
  <si>
    <t xml:space="preserve">размер субсидий, которые будут предоставлены подрядчику в соответствии с нормативным правовым актом субъекта Российской Федерации, муниципальным нормативным правовым актом, принятыми в соответствии с Бюджетным кодексом Российской Федерации &lt;2&gt;, в целях компенсации недополученных доходов от предоставления льгот на проезд пассажиров или части затрат на выполнение предусмотренных контрактом работ, руб. </t>
  </si>
  <si>
    <r>
      <t>(Сi + Сoi)K</t>
    </r>
    <r>
      <rPr>
        <i/>
        <sz val="11"/>
        <color theme="1"/>
        <rFont val="Times New Roman"/>
        <family val="1"/>
        <charset val="204"/>
      </rPr>
      <t>a</t>
    </r>
    <r>
      <rPr>
        <sz val="11"/>
        <color theme="1"/>
        <rFont val="Times New Roman"/>
        <family val="1"/>
        <charset val="204"/>
      </rPr>
      <t xml:space="preserve"> -С суб - П</t>
    </r>
  </si>
  <si>
    <r>
      <t>K</t>
    </r>
    <r>
      <rPr>
        <i/>
        <sz val="11"/>
        <color theme="1"/>
        <rFont val="Times New Roman"/>
        <family val="1"/>
        <charset val="204"/>
      </rPr>
      <t>a</t>
    </r>
  </si>
  <si>
    <t xml:space="preserve">коэффициент, учитывающий расходы на оплату услуг автовокзалов и автостанций (в случае, если контрактом предусматривается использование одного или нескольких остановочных пунктов, расположенных на территории автовокзала или автостанции, принимается равным 1,1, во всех прочих случаях принимается равным 1,0)
</t>
  </si>
  <si>
    <r>
      <t>(12*ЗПВi/ФРВв)*Ачti*k</t>
    </r>
    <r>
      <rPr>
        <vertAlign val="subscript"/>
        <sz val="11"/>
        <color theme="1"/>
        <rFont val="Times New Roman"/>
        <family val="1"/>
        <charset val="204"/>
      </rPr>
      <t>пз</t>
    </r>
    <r>
      <rPr>
        <sz val="11"/>
        <color theme="1"/>
        <rFont val="Times New Roman"/>
        <family val="1"/>
        <charset val="204"/>
      </rPr>
      <t xml:space="preserve">*Iптц/Lti </t>
    </r>
  </si>
  <si>
    <t xml:space="preserve">Ljoi
</t>
  </si>
  <si>
    <t>Фактический пробег транспортных средств в течение периода не менее 12 месяцев, предшествующего дате начала проведения расчетов НМЦК</t>
  </si>
  <si>
    <t>Годовой фонд рабочего времени водителя автобуса</t>
  </si>
  <si>
    <t xml:space="preserve">если контрактом предусматривается возложение на водителя обязанности кондуктора в отсутствии автоматизированной системы оплаты проезда, принимается равным 0,3; если контрактом предусматривается возложение на водителя обязанности кондуктора при наличии автоматизированной системы оплаты проезда, принимается равным 0,05
</t>
  </si>
  <si>
    <t xml:space="preserve">kбил
</t>
  </si>
  <si>
    <t>СРti = (РОТВti + РОТКti) x (СТС / 100)</t>
  </si>
  <si>
    <t>РТti = ЦТi x (Нsi / 100 x (1 + 0,01 x D) + (НОТi/Vэ x Nз / 12)) x Iтt</t>
  </si>
  <si>
    <t>Нsi</t>
  </si>
  <si>
    <t>НОТi</t>
  </si>
  <si>
    <r>
      <t>0,075*P</t>
    </r>
    <r>
      <rPr>
        <vertAlign val="subscript"/>
        <sz val="11"/>
        <color theme="1"/>
        <rFont val="Times New Roman"/>
        <family val="1"/>
        <charset val="204"/>
      </rPr>
      <t>tti</t>
    </r>
  </si>
  <si>
    <r>
      <t>У</t>
    </r>
    <r>
      <rPr>
        <vertAlign val="subscript"/>
        <sz val="11"/>
        <color theme="1"/>
        <rFont val="Times New Roman"/>
        <family val="1"/>
        <charset val="204"/>
      </rPr>
      <t>шi*</t>
    </r>
    <r>
      <rPr>
        <sz val="11"/>
        <color theme="1"/>
        <rFont val="Times New Roman"/>
        <family val="1"/>
        <charset val="204"/>
      </rPr>
      <t>I</t>
    </r>
    <r>
      <rPr>
        <vertAlign val="subscript"/>
        <sz val="11"/>
        <color theme="1"/>
        <rFont val="Times New Roman"/>
        <family val="1"/>
        <charset val="204"/>
      </rPr>
      <t>мt</t>
    </r>
  </si>
  <si>
    <t>ФОТррi + РЗЧti</t>
  </si>
  <si>
    <t>ФОТррi = (12 x ЗПР / ФРВрр) x Iпцt x (ТТi / КТо + Трi x Ккр) x 0,001 x (1 + СТС / 100)</t>
  </si>
  <si>
    <t>Кто</t>
  </si>
  <si>
    <t xml:space="preserve"> Коэффициент корректировки базовой удельной трудоемкости технического обслуживания автобусов в зависимости от природно-климатических условий</t>
  </si>
  <si>
    <t xml:space="preserve">принимается в соответствии с таблицей 3
</t>
  </si>
  <si>
    <t xml:space="preserve">Ккр
</t>
  </si>
  <si>
    <t>Коэффициент корректировки базовой удельной трудоемкости текущего ремонта автобусов в зависимости от природно-климатических условий</t>
  </si>
  <si>
    <t>Средняя месячная оплата труда ремонтного рабочего</t>
  </si>
  <si>
    <t>Коэффициент корректировки базовых удельных расходов на запасные части и материалы в зависимотси от природно-климатических условия</t>
  </si>
  <si>
    <r>
      <t>У</t>
    </r>
    <r>
      <rPr>
        <vertAlign val="subscript"/>
        <sz val="11"/>
        <color theme="1"/>
        <rFont val="Times New Roman"/>
        <family val="1"/>
        <charset val="204"/>
      </rPr>
      <t>зчi км</t>
    </r>
    <r>
      <rPr>
        <sz val="11"/>
        <color theme="1"/>
        <rFont val="Times New Roman"/>
        <family val="1"/>
        <charset val="204"/>
      </rPr>
      <t>*К</t>
    </r>
    <r>
      <rPr>
        <vertAlign val="subscript"/>
        <sz val="11"/>
        <color theme="1"/>
        <rFont val="Times New Roman"/>
        <family val="1"/>
        <charset val="204"/>
      </rPr>
      <t>зч</t>
    </r>
    <r>
      <rPr>
        <sz val="11"/>
        <color theme="1"/>
        <rFont val="Times New Roman"/>
        <family val="1"/>
        <charset val="204"/>
      </rPr>
      <t>*I</t>
    </r>
    <r>
      <rPr>
        <vertAlign val="subscript"/>
        <sz val="11"/>
        <color theme="1"/>
        <rFont val="Times New Roman"/>
        <family val="1"/>
        <charset val="204"/>
      </rPr>
      <t>мt</t>
    </r>
    <r>
      <rPr>
        <sz val="11"/>
        <color theme="1"/>
        <rFont val="Times New Roman"/>
        <family val="1"/>
        <charset val="204"/>
      </rPr>
      <t xml:space="preserve"> </t>
    </r>
  </si>
  <si>
    <t>ПКРti = Кпр x (РТti + РСМti + РШti + РТОti)</t>
  </si>
  <si>
    <t>(Sti*R*Lti/B)+Mi*Цi*Крсс
*Imot*r/(12*Tni)</t>
  </si>
  <si>
    <t>R</t>
  </si>
  <si>
    <t>Минимальное количество транспортных средств</t>
  </si>
  <si>
    <t>принимается в соответствии с таблицей 1</t>
  </si>
  <si>
    <t>Коэффициент повышения расходов на обновление подвижного состава</t>
  </si>
  <si>
    <t>Крсс</t>
  </si>
  <si>
    <t>для других видов транспорта - 1,0</t>
  </si>
  <si>
    <t>10.10</t>
  </si>
  <si>
    <t>Планируемый пробег, приведенный по вместимости</t>
  </si>
  <si>
    <t>Фактический пробег, приведенный по вместимости</t>
  </si>
  <si>
    <t xml:space="preserve">принимается в соответствии с таблицей 1
</t>
  </si>
  <si>
    <t>Коэффициент, характеризующий продолжительность подготовительно-заключительного времени, времени прохождения предрейсовых инструктажей и медицинских осмотров водителя</t>
  </si>
  <si>
    <t>Коэффициент, учитывающий затраты на оплату труда водителя, совмещающего обязанности кондуктора</t>
  </si>
  <si>
    <t>Средняя месячная оплата труда водителя</t>
  </si>
  <si>
    <t>Расходы на оплату труда водителей транспортных средств</t>
  </si>
  <si>
    <t>Расходы на оплату труда кодуктора транспортного средства</t>
  </si>
  <si>
    <t>Отчисления на социальные нужды водителей и кондукторов транспортных средств</t>
  </si>
  <si>
    <t>Расходы на топливо для транспортных средств</t>
  </si>
  <si>
    <t>Транспортная норма расхода топлива на пробег автобуса в расчете на 100 км</t>
  </si>
  <si>
    <t>Суммарный тариф отчислений на социальные нужды</t>
  </si>
  <si>
    <t>Расходы на смазочные материалы</t>
  </si>
  <si>
    <t>Расходы на износ и ремонт шин транспортных средств</t>
  </si>
  <si>
    <t>Расходы на техническое обслуживание и ремонт транспортных средств</t>
  </si>
  <si>
    <t>Коэффициент, учитывающий дифференциацию в оплате труда ремонтных рабочих в зависимости от выида маршрута</t>
  </si>
  <si>
    <t>на 1 год</t>
  </si>
  <si>
    <t xml:space="preserve">СЗП*Кзпi для водителя*Км </t>
  </si>
  <si>
    <t>согласно порядку для автобусов особо малого класса принимаются равными не менее 0,15, для автобусов малого класса - не менее 0,28, для автобусов среднего класса - не менее 0,66, для автобусов большого класса - не менее 0,84, для автобусов особо большого класса - не менее 0,94</t>
  </si>
  <si>
    <t>согласно порядку для автобусов особо малого класса принимаются равной не менее 5,9, для автобусов малого класса - не менее 8,0, для автобусов среднего класса - не менее 9,3, для автобусов большого класса - не менее 13,3, для автобусов особо большого класса - не менее 19,1</t>
  </si>
  <si>
    <t>согласно порядку для автобусов особо малого класса принимаются равной не менее 5,4, для автобусов малого класса - не менее 6,4, для автобусов среднего класса - не менее 7,8, для автобусов большого класса - не менее 10,2, для автобусов особо большого класса - не менее 13,2</t>
  </si>
  <si>
    <t>согласно порядку для автобусов особо малого класса принимаются равными не менее 2,2, для автобусов малого класса - не менее 3,2, для автобусов среднего класса - не менее 3,6, для автобусов большого класса - не менее 6,4, для автобусов особо большого класса - не менее 8,6</t>
  </si>
  <si>
    <t>на период действия контракта в 2022 году</t>
  </si>
  <si>
    <t>Принимают значения, равные 0,9 при перевозках в городском сообщении, 0,91 - в пригородном сообщении и 0,95 - в междугородном сообщении</t>
  </si>
  <si>
    <r>
      <t>принимается равным не менее: для автобусов особо малого класса - 14,5 (бензин АИ-92),</t>
    </r>
    <r>
      <rPr>
        <u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для автобусов малого класса - 23,2 (дизельное топливо, более 22 мест), для автобусов среднего класса - 29,6 (дизельное топливо), для автобусов большого класса - 39,8 (дизельное топливо), для автобусов особо большого класса - 47,5 (дизельное топливо)</t>
    </r>
  </si>
  <si>
    <t>Если изменялся тариф указывается коэффициент фактического изменения тарифа</t>
  </si>
  <si>
    <t>Планируемая плата за проезд пассажиров</t>
  </si>
  <si>
    <t>∑(Пjо*It*ПВjt/Пвjo)
∑(Пjо*It)
∑(Сi*Кв)</t>
  </si>
  <si>
    <t>для автобусов особо малого и малого класса -0; для автобусов среднего класса -2,5;для автобусов большого и особо большого класов -3,5;</t>
  </si>
  <si>
    <t xml:space="preserve"> 10.11</t>
  </si>
  <si>
    <t xml:space="preserve"> 10.12</t>
  </si>
  <si>
    <t xml:space="preserve"> 10.13</t>
  </si>
  <si>
    <t xml:space="preserve"> 10.14</t>
  </si>
  <si>
    <t xml:space="preserve"> 10.15</t>
  </si>
  <si>
    <t xml:space="preserve"> 10.16</t>
  </si>
  <si>
    <t xml:space="preserve"> 10.17</t>
  </si>
  <si>
    <t xml:space="preserve"> 10.18</t>
  </si>
  <si>
    <t xml:space="preserve"> 10.19</t>
  </si>
  <si>
    <t>РОТКti = РОТВti x kбил</t>
  </si>
  <si>
    <t>2.1</t>
  </si>
  <si>
    <t xml:space="preserve">принимаются равными нулю в случае, если контрактом не предусматривается выполнение работниками обязанности кондуктора
</t>
  </si>
  <si>
    <t>Маршрут № 121 Яренск-Запань-Яреньга</t>
  </si>
  <si>
    <r>
      <t xml:space="preserve">согласно порядку для автобусов особо малого класса принимаются равными не менее 0,15, </t>
    </r>
    <r>
      <rPr>
        <b/>
        <sz val="11"/>
        <color theme="1"/>
        <rFont val="Times New Roman"/>
        <family val="1"/>
        <charset val="204"/>
      </rPr>
      <t>для автобусов малого класса - не менее 0,28</t>
    </r>
    <r>
      <rPr>
        <sz val="11"/>
        <color theme="1"/>
        <rFont val="Times New Roman"/>
        <family val="1"/>
        <charset val="204"/>
      </rPr>
      <t>, для автобусов среднего класса - не менее 0,66, для автобусов большого класса - не менее 0,84, для автобусов особо большого класса - не менее 0,94</t>
    </r>
  </si>
  <si>
    <r>
      <t xml:space="preserve">Республика Алтай, Республика Бурятия, Республика Карелия, Республика Коми, Республика Тыва, Республика Хакасия; Алтайский, Забайкальский, Камчатский, Красноярский, Приморский и Хабаровский края; Амурская, </t>
    </r>
    <r>
      <rPr>
        <b/>
        <sz val="11"/>
        <color theme="1"/>
        <rFont val="Times New Roman"/>
        <family val="1"/>
        <charset val="204"/>
      </rPr>
      <t>Архангельская</t>
    </r>
    <r>
      <rPr>
        <sz val="11"/>
        <color theme="1"/>
        <rFont val="Times New Roman"/>
        <family val="1"/>
        <charset val="204"/>
      </rPr>
      <t>, Иркутская, Кемеровская, Мурманская, Новосибирская, Омская, Сахалинская, Томская, Тюменская области; Ненецкий автономный округ, Ханты-Мансийский автономный округ - Югра, Ямало-Ненецкий автономный округ</t>
    </r>
  </si>
  <si>
    <r>
      <t xml:space="preserve">согласно порядку для автобусов особо малого класса принимаются равными не менее 2,2, </t>
    </r>
    <r>
      <rPr>
        <b/>
        <sz val="11"/>
        <color theme="1"/>
        <rFont val="Times New Roman"/>
        <family val="1"/>
        <charset val="204"/>
      </rPr>
      <t>для автобусов малого класса - не менее 3,2</t>
    </r>
    <r>
      <rPr>
        <sz val="11"/>
        <color theme="1"/>
        <rFont val="Times New Roman"/>
        <family val="1"/>
        <charset val="204"/>
      </rPr>
      <t>, для автобусов среднего класса - не менее 3,6, для автобусов большого класса - не менее 6,4, для автобусов особо большого класса - не менее 8,6</t>
    </r>
  </si>
  <si>
    <r>
      <t xml:space="preserve">Принимают значения, равные 0,9 при перевозках в городском сообщении, </t>
    </r>
    <r>
      <rPr>
        <b/>
        <sz val="11"/>
        <rFont val="Times New Roman"/>
        <family val="1"/>
        <charset val="204"/>
      </rPr>
      <t>0,91 - в пригородном сообщении</t>
    </r>
    <r>
      <rPr>
        <sz val="11"/>
        <rFont val="Times New Roman"/>
        <family val="1"/>
        <charset val="204"/>
      </rPr>
      <t xml:space="preserve"> и 0,95 - в междугородном сообщении</t>
    </r>
  </si>
  <si>
    <t>Маршрут № 122 Яренск-Усть-Очея</t>
  </si>
  <si>
    <r>
      <t xml:space="preserve">согласно порядку для автобусов особо малого класса принимаются равной не менее 5,4, </t>
    </r>
    <r>
      <rPr>
        <b/>
        <sz val="11"/>
        <color theme="1"/>
        <rFont val="Times New Roman"/>
        <family val="1"/>
        <charset val="204"/>
      </rPr>
      <t>для автобусов малого класса - не менее 6,4</t>
    </r>
    <r>
      <rPr>
        <sz val="11"/>
        <color theme="1"/>
        <rFont val="Times New Roman"/>
        <family val="1"/>
        <charset val="204"/>
      </rPr>
      <t>, для автобусов среднего класса - не менее 7,8, для автобусов большого класса - не менее 10,2, для автобусов особо большого класса - не менее 13,2</t>
    </r>
  </si>
  <si>
    <r>
      <t xml:space="preserve">согласно порядку для автобусов особо малого класса принимаются равной не менее 5,9, </t>
    </r>
    <r>
      <rPr>
        <b/>
        <sz val="11"/>
        <color theme="1"/>
        <rFont val="Times New Roman"/>
        <family val="1"/>
        <charset val="204"/>
      </rPr>
      <t>для автобусов малого класса - не менее 8,0</t>
    </r>
    <r>
      <rPr>
        <sz val="11"/>
        <color theme="1"/>
        <rFont val="Times New Roman"/>
        <family val="1"/>
        <charset val="204"/>
      </rPr>
      <t>, для автобусов среднего класса - не менее 9,3, для автобусов большого класса - не менее 13,3, для автобусов особо большого класса - не менее 19,1</t>
    </r>
  </si>
  <si>
    <t>Маршрут № 500 Козьмино-Яренск</t>
  </si>
  <si>
    <r>
      <t>принимается равным не менее: для автобусов особо малого класса - 14,5 (бензин АИ-92),</t>
    </r>
    <r>
      <rPr>
        <u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для автобусов малого класса - 17,0 (бензин АИ-92); - 14,2  (дизельное топливо, не более 22 мест), </t>
    </r>
    <r>
      <rPr>
        <b/>
        <sz val="11"/>
        <color theme="1"/>
        <rFont val="Times New Roman"/>
        <family val="1"/>
        <charset val="204"/>
      </rPr>
      <t>для автобусов среднего класса - 26,2 (дизельное топливо, до 54)</t>
    </r>
    <r>
      <rPr>
        <sz val="11"/>
        <color theme="1"/>
        <rFont val="Times New Roman"/>
        <family val="1"/>
        <charset val="204"/>
      </rPr>
      <t xml:space="preserve"> , для автобусов большого класса - 39,8 (дизельное топливо), для автобусов особо большого класса - 47,5 (дизельное топливо)</t>
    </r>
  </si>
  <si>
    <r>
      <t xml:space="preserve">согласно порядку для автобусов особо малого класса принимаются равными не менее 0,15, для автобусов малого класса - не менее 0,28, </t>
    </r>
    <r>
      <rPr>
        <b/>
        <sz val="11"/>
        <color theme="1"/>
        <rFont val="Times New Roman"/>
        <family val="1"/>
        <charset val="204"/>
      </rPr>
      <t>для автобусов среднего класса - не менее 0,66</t>
    </r>
    <r>
      <rPr>
        <sz val="11"/>
        <color theme="1"/>
        <rFont val="Times New Roman"/>
        <family val="1"/>
        <charset val="204"/>
      </rPr>
      <t>, для автобусов большого класса - не менее 0,84, для автобусов особо большого класса - не менее 0,94</t>
    </r>
  </si>
  <si>
    <r>
      <t xml:space="preserve">согласно порядку для автобусов особо малого класса принимаются равной не менее 5,9, для автобусов малого класса - не менее 8,0, </t>
    </r>
    <r>
      <rPr>
        <b/>
        <sz val="11"/>
        <color theme="1"/>
        <rFont val="Times New Roman"/>
        <family val="1"/>
        <charset val="204"/>
      </rPr>
      <t>для автобусов среднего класса - не менее 9,3</t>
    </r>
    <r>
      <rPr>
        <sz val="11"/>
        <color theme="1"/>
        <rFont val="Times New Roman"/>
        <family val="1"/>
        <charset val="204"/>
      </rPr>
      <t>, для автобусов большого класса - не менее 13,3, для автобусов особо большого класса - не менее 19,1</t>
    </r>
  </si>
  <si>
    <r>
      <t xml:space="preserve">согласно порядку для автобусов особо малого класса принимаются равной не менее 5,4, для автобусов малого класса - не менее 6,4, </t>
    </r>
    <r>
      <rPr>
        <b/>
        <sz val="11"/>
        <color theme="1"/>
        <rFont val="Times New Roman"/>
        <family val="1"/>
        <charset val="204"/>
      </rPr>
      <t>для автобусов среднего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класса - не менее 7,8</t>
    </r>
    <r>
      <rPr>
        <sz val="11"/>
        <color theme="1"/>
        <rFont val="Times New Roman"/>
        <family val="1"/>
        <charset val="204"/>
      </rPr>
      <t>, для автобусов большого класса - не менее 10,2, для автобусов особо большого класса - не менее 13,2</t>
    </r>
  </si>
  <si>
    <r>
      <t xml:space="preserve">согласно порядку для автобусов особо малого класса принимаются равными не менее 2,2, для автобусов малого класса - не менее 3,2, </t>
    </r>
    <r>
      <rPr>
        <b/>
        <sz val="11"/>
        <color theme="1"/>
        <rFont val="Times New Roman"/>
        <family val="1"/>
        <charset val="204"/>
      </rPr>
      <t>для автобусов среднего класса - не менее 3,6</t>
    </r>
    <r>
      <rPr>
        <sz val="11"/>
        <color theme="1"/>
        <rFont val="Times New Roman"/>
        <family val="1"/>
        <charset val="204"/>
      </rPr>
      <t>, для автобусов большого класса - не менее 6,4, для автобусов особо большого класса - не менее 8,6</t>
    </r>
  </si>
  <si>
    <r>
      <t xml:space="preserve">для автобусов особо малого и малого класса -0; </t>
    </r>
    <r>
      <rPr>
        <b/>
        <sz val="11"/>
        <color theme="1"/>
        <rFont val="Times New Roman"/>
        <family val="1"/>
        <charset val="204"/>
      </rPr>
      <t>для автобусов среднего класса -2,5</t>
    </r>
    <r>
      <rPr>
        <sz val="11"/>
        <color theme="1"/>
        <rFont val="Times New Roman"/>
        <family val="1"/>
        <charset val="204"/>
      </rPr>
      <t>;для автобусов большого и особо большого класов -3,5;</t>
    </r>
  </si>
  <si>
    <t>Маршрут № 501 Литвино - Яренск</t>
  </si>
  <si>
    <t>Маршрут № 502 Урдома - Яренск</t>
  </si>
  <si>
    <t>Маршрут № 504 Яренск-Устье</t>
  </si>
  <si>
    <t>Коэффициент, учитывающий дифференциацию в оплате труда ремонтных рабочих в зависимости от вида маршрута</t>
  </si>
  <si>
    <t>№</t>
  </si>
  <si>
    <t>наименование маршрута</t>
  </si>
  <si>
    <t>Яренск-Запань-Яреньга</t>
  </si>
  <si>
    <t>Яренск-Усть-Очея</t>
  </si>
  <si>
    <t>Козьмино-Яренск</t>
  </si>
  <si>
    <t>Литвино-Яренск</t>
  </si>
  <si>
    <t>Урдома-Яренск</t>
  </si>
  <si>
    <t>Яренск-Устье</t>
  </si>
  <si>
    <t>всего:</t>
  </si>
  <si>
    <t>план пробег</t>
  </si>
  <si>
    <t>д/т</t>
  </si>
  <si>
    <t>средний</t>
  </si>
  <si>
    <t>количество мест</t>
  </si>
  <si>
    <t>малый</t>
  </si>
  <si>
    <t>НМЦК (из расчета)</t>
  </si>
  <si>
    <t>вид топлива (данные перевозчика)</t>
  </si>
  <si>
    <t>норма расхода топлива(из таблицы Порядка)</t>
  </si>
  <si>
    <t>класс ТС</t>
  </si>
  <si>
    <t>марка ТС</t>
  </si>
  <si>
    <t>ГАЗель</t>
  </si>
  <si>
    <t>КАВЗ</t>
  </si>
  <si>
    <t>ПАЗ</t>
  </si>
  <si>
    <t>№             маршрута</t>
  </si>
  <si>
    <r>
      <t xml:space="preserve">согласно порядку для автобусов особо малого класса принимаются равной не менее 5,9, </t>
    </r>
    <r>
      <rPr>
        <b/>
        <sz val="11"/>
        <color theme="1"/>
        <rFont val="Times New Roman"/>
        <family val="1"/>
        <charset val="204"/>
      </rPr>
      <t>для автобусов малого класса - не менее 8,0,</t>
    </r>
    <r>
      <rPr>
        <sz val="11"/>
        <color theme="1"/>
        <rFont val="Times New Roman"/>
        <family val="1"/>
        <charset val="204"/>
      </rPr>
      <t xml:space="preserve"> для автобусов среднего класса - не менее 9,3, для автобусов большого класса - не менее 13,3, для автобусов особо большого класса - не менее 19,1</t>
    </r>
  </si>
  <si>
    <r>
      <t xml:space="preserve">согласно порядку для автобусов особо малого класса принимаются равной не менее 5,4, </t>
    </r>
    <r>
      <rPr>
        <b/>
        <sz val="11"/>
        <color theme="1"/>
        <rFont val="Times New Roman"/>
        <family val="1"/>
        <charset val="204"/>
      </rPr>
      <t>для автобусов малого класса - не мен</t>
    </r>
    <r>
      <rPr>
        <sz val="11"/>
        <color theme="1"/>
        <rFont val="Times New Roman"/>
        <family val="1"/>
        <charset val="204"/>
      </rPr>
      <t xml:space="preserve">ее </t>
    </r>
    <r>
      <rPr>
        <b/>
        <sz val="11"/>
        <color theme="1"/>
        <rFont val="Times New Roman"/>
        <family val="1"/>
        <charset val="204"/>
      </rPr>
      <t>6,4</t>
    </r>
    <r>
      <rPr>
        <sz val="11"/>
        <color theme="1"/>
        <rFont val="Times New Roman"/>
        <family val="1"/>
        <charset val="204"/>
      </rPr>
      <t>, для автобусов среднего класса - не менее 7,8, для автобусов большого класса - не менее 10,2, для автобусов особо большого класса - не менее 13,2</t>
    </r>
  </si>
  <si>
    <t xml:space="preserve">                            </t>
  </si>
  <si>
    <t xml:space="preserve">применяется в соотвествии с Приложением №1 к Порядку определения начальной( максимальной )цены контракта </t>
  </si>
  <si>
    <r>
      <t>принимается равным не менее: для автобусов особо малого класса - 14,5 (бензин АИ-92),</t>
    </r>
    <r>
      <rPr>
        <u/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для автобусов малого класса -</t>
    </r>
    <r>
      <rPr>
        <sz val="11"/>
        <color theme="1"/>
        <rFont val="Times New Roman"/>
        <family val="1"/>
        <charset val="204"/>
      </rPr>
      <t xml:space="preserve"> 17,0 (бензин АИ-92); - </t>
    </r>
    <r>
      <rPr>
        <b/>
        <sz val="11"/>
        <color theme="1"/>
        <rFont val="Times New Roman"/>
        <family val="1"/>
        <charset val="204"/>
      </rPr>
      <t>14,2  (дизельное топливо, не более 22 мест)</t>
    </r>
    <r>
      <rPr>
        <sz val="11"/>
        <color theme="1"/>
        <rFont val="Times New Roman"/>
        <family val="1"/>
        <charset val="204"/>
      </rPr>
      <t>, для автобусов среднего класса - 29,6 (дизельное топливо), для автобусов большого класса - 39,8 (дизельное топливо), для автобусов особо большого класса - 47,5 (дизельное топливо) Таблица 2 Порядка</t>
    </r>
  </si>
  <si>
    <t>определено в пункте 4 расходы на топливо на 1 км пробега</t>
  </si>
  <si>
    <t xml:space="preserve">принимается в соответствии с таблицей 3 Порядка
</t>
  </si>
  <si>
    <t>принимается в соответствии с таблицей 1 Порядка</t>
  </si>
  <si>
    <t>из таблицы 4 порядка</t>
  </si>
  <si>
    <t xml:space="preserve">применяется в соотвествии с Порядком </t>
  </si>
  <si>
    <t>применяетсся в соотвествии с Приложением №1 к Порядку</t>
  </si>
  <si>
    <t>Цена за 1 л. Дизильного топлива</t>
  </si>
  <si>
    <t>цена за 1 л дизельного топлива</t>
  </si>
  <si>
    <t>из таблицы3 порядка</t>
  </si>
  <si>
    <t xml:space="preserve">цена за 1 л. дизельного топлива </t>
  </si>
  <si>
    <t>Цена за 1 л. Дизельного топлива</t>
  </si>
  <si>
    <t>индекс производства нефтепродуктов</t>
  </si>
  <si>
    <t>Индексы промышленного производства(машины и оборудование)</t>
  </si>
  <si>
    <t>Индекс потребительский цен из прогноза Минэкономразвития РФ</t>
  </si>
  <si>
    <t>Цена за 1 л. дизильного топлива</t>
  </si>
  <si>
    <t>Цена за 1л. Дизельного топлива</t>
  </si>
  <si>
    <t xml:space="preserve">протяженность маршрута </t>
  </si>
  <si>
    <t>количество рейсов в 2025</t>
  </si>
  <si>
    <t>на период действия контракта в 2025 году</t>
  </si>
  <si>
    <t>на период действия контракта в 2025году</t>
  </si>
  <si>
    <t>81859-52741</t>
  </si>
  <si>
    <r>
      <t xml:space="preserve">согласно порядку для автобусов особо малого класса принимаются равной не менее 5,4, для автобусов малого класса - не менее 6,4, </t>
    </r>
    <r>
      <rPr>
        <b/>
        <sz val="11"/>
        <color theme="1"/>
        <rFont val="Times New Roman"/>
        <family val="1"/>
        <charset val="204"/>
      </rPr>
      <t xml:space="preserve">для автобусов среднего класса - не менее 7,8, </t>
    </r>
    <r>
      <rPr>
        <sz val="11"/>
        <color theme="1"/>
        <rFont val="Times New Roman"/>
        <family val="1"/>
        <charset val="204"/>
      </rPr>
      <t>для автобусов большого класса - не менее 10,2, для автобусов особо большого класса - не менее 13,2</t>
    </r>
  </si>
  <si>
    <r>
      <rPr>
        <b/>
        <sz val="11"/>
        <color theme="1"/>
        <rFont val="Times New Roman"/>
        <family val="1"/>
        <charset val="204"/>
      </rPr>
      <t>для автобусов особо малого и малого класса -0</t>
    </r>
    <r>
      <rPr>
        <sz val="11"/>
        <color theme="1"/>
        <rFont val="Times New Roman"/>
        <family val="1"/>
        <charset val="204"/>
      </rPr>
      <t>; для автобусов среднего класса -2,5;для автобусов большого и особо большого класов -3,5;</t>
    </r>
  </si>
  <si>
    <r>
      <rPr>
        <b/>
        <sz val="11"/>
        <color theme="1"/>
        <rFont val="Times New Roman"/>
        <family val="1"/>
        <charset val="204"/>
      </rPr>
      <t xml:space="preserve">для автобусов особо малого и малого класса -0; </t>
    </r>
    <r>
      <rPr>
        <sz val="11"/>
        <color theme="1"/>
        <rFont val="Times New Roman"/>
        <family val="1"/>
        <charset val="204"/>
      </rPr>
      <t>для автобусов среднего класса -2,5;для автобусов большого и особо большого класов -3,5;</t>
    </r>
  </si>
  <si>
    <r>
      <t xml:space="preserve">для автобусов особо малого и малого класса -0; </t>
    </r>
    <r>
      <rPr>
        <b/>
        <sz val="11"/>
        <color theme="1"/>
        <rFont val="Times New Roman"/>
        <family val="1"/>
        <charset val="204"/>
      </rPr>
      <t xml:space="preserve">для автобусов среднего класса -2,5; </t>
    </r>
    <r>
      <rPr>
        <sz val="11"/>
        <color theme="1"/>
        <rFont val="Times New Roman"/>
        <family val="1"/>
        <charset val="204"/>
      </rPr>
      <t>для автобусов большого и особо большого класов -3,5;</t>
    </r>
  </si>
  <si>
    <r>
      <t>для автобусов особо малого и малого класса -0;</t>
    </r>
    <r>
      <rPr>
        <b/>
        <sz val="11"/>
        <color theme="1"/>
        <rFont val="Times New Roman"/>
        <family val="1"/>
        <charset val="204"/>
      </rPr>
      <t xml:space="preserve"> для автобусов среднего класса -2,5; </t>
    </r>
    <r>
      <rPr>
        <sz val="11"/>
        <color theme="1"/>
        <rFont val="Times New Roman"/>
        <family val="1"/>
        <charset val="204"/>
      </rPr>
      <t>для автобусов большого и особо большого класов -3,5;</t>
    </r>
  </si>
  <si>
    <r>
      <t>согласно порядку для автобусов особо малого класса принимаются равной не менее 5,9,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для автобусов малого класса - не менее 8,0, </t>
    </r>
    <r>
      <rPr>
        <b/>
        <sz val="11"/>
        <color theme="1"/>
        <rFont val="Times New Roman"/>
        <family val="1"/>
        <charset val="204"/>
      </rPr>
      <t>для автобусов среднего класса - не менее 9,3</t>
    </r>
    <r>
      <rPr>
        <sz val="11"/>
        <color theme="1"/>
        <rFont val="Times New Roman"/>
        <family val="1"/>
        <charset val="204"/>
      </rPr>
      <t>, для автобусов большого класса - не менее 13,3, для автобусов особо большого класса - не менее 19,1</t>
    </r>
  </si>
  <si>
    <r>
      <t xml:space="preserve">согласно порядку для автобусов особо малого класса принимаются равной не менее 5,4, для автобусов малого класса - не менее 6,4, </t>
    </r>
    <r>
      <rPr>
        <b/>
        <sz val="11"/>
        <color theme="1"/>
        <rFont val="Times New Roman"/>
        <family val="1"/>
        <charset val="204"/>
      </rPr>
      <t>для автобусов среднего класса - не менее 7,8,</t>
    </r>
    <r>
      <rPr>
        <sz val="11"/>
        <color theme="1"/>
        <rFont val="Times New Roman"/>
        <family val="1"/>
        <charset val="204"/>
      </rPr>
      <t xml:space="preserve"> для автобусов большого класса - не менее 10,2, для автобусов особо большого класса - не менее 13,2</t>
    </r>
  </si>
  <si>
    <r>
      <t xml:space="preserve">согласно порядку для автобусов особо малого класса принимаются равными не менее 2,2, для автобусов малого класса - не менее 3,2, </t>
    </r>
    <r>
      <rPr>
        <b/>
        <sz val="11"/>
        <color theme="1"/>
        <rFont val="Times New Roman"/>
        <family val="1"/>
        <charset val="204"/>
      </rPr>
      <t>для автобусов среднего класса - не менее 3,6,</t>
    </r>
    <r>
      <rPr>
        <sz val="11"/>
        <color theme="1"/>
        <rFont val="Times New Roman"/>
        <family val="1"/>
        <charset val="204"/>
      </rPr>
      <t xml:space="preserve"> для автобусов большого класса - не менее 6,4, для автобусов особо большого класса - не менее 8,6</t>
    </r>
  </si>
  <si>
    <r>
      <t>принимается равным не менее: для автобусов особо малого класса - 14,5 (бензин АИ-92),</t>
    </r>
    <r>
      <rPr>
        <u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для автобусов малого класса - 17,0 (бензин АИ-92); - 14,2  (дизельное топливо, не более 22 мест), </t>
    </r>
    <r>
      <rPr>
        <b/>
        <sz val="11"/>
        <color theme="1"/>
        <rFont val="Times New Roman"/>
        <family val="1"/>
        <charset val="204"/>
      </rPr>
      <t>для автобусов среднего класса - 26,2 (дизельное топливо),</t>
    </r>
    <r>
      <rPr>
        <sz val="11"/>
        <color theme="1"/>
        <rFont val="Times New Roman"/>
        <family val="1"/>
        <charset val="204"/>
      </rPr>
      <t xml:space="preserve"> для автобусов большого класса - 39,8 (дизельное топливо), для автобусов особо большого класса - 47,5 (дизельное топливо)</t>
    </r>
  </si>
  <si>
    <r>
      <t>принимается равным не менее: для автобусов особо малого класса - 14,5 (бензин АИ-92),</t>
    </r>
    <r>
      <rPr>
        <u/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для автобусов малого класса -</t>
    </r>
    <r>
      <rPr>
        <sz val="11"/>
        <color theme="1"/>
        <rFont val="Times New Roman"/>
        <family val="1"/>
        <charset val="204"/>
      </rPr>
      <t xml:space="preserve"> 17,0 (бензин АИ-92); - </t>
    </r>
    <r>
      <rPr>
        <b/>
        <sz val="11"/>
        <color theme="1"/>
        <rFont val="Times New Roman"/>
        <family val="1"/>
        <charset val="204"/>
      </rPr>
      <t>14,2  (дизельное топливо, не более 22 мест)</t>
    </r>
    <r>
      <rPr>
        <sz val="11"/>
        <color theme="1"/>
        <rFont val="Times New Roman"/>
        <family val="1"/>
        <charset val="204"/>
      </rPr>
      <t>, для автобусов среднего класса - 26,2 (дизельное топливо), для автобусов большого класса - 39,8 (дизельное топливо), для автобусов особо большого класса - 47,5 (дизельное топливо)</t>
    </r>
  </si>
  <si>
    <t>на 7 месяцев</t>
  </si>
  <si>
    <t>с сентября по декабрь</t>
  </si>
  <si>
    <t>7 месяцев</t>
  </si>
  <si>
    <t xml:space="preserve"> с сентября по декабрь</t>
  </si>
  <si>
    <t>на 7месяцев</t>
  </si>
  <si>
    <t xml:space="preserve"> 7 месяцев 2025г</t>
  </si>
  <si>
    <t>7 месяцев 2025г.</t>
  </si>
  <si>
    <t>РЕЕСТР на 2025 год (июнь-декабрь 2025 г., 7 месяцев)</t>
  </si>
  <si>
    <t>ИСП. Осмакова А.В.</t>
  </si>
  <si>
    <t xml:space="preserve">согласно фактическим данным предриятий за 2024г.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</si>
</sst>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0.000"/>
    <numFmt numFmtId="165" formatCode="0.0"/>
    <numFmt numFmtId="166" formatCode="#,##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vertAlign val="subscript"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43" fontId="18" fillId="0" borderId="0" applyFont="0" applyFill="0" applyBorder="0" applyAlignment="0" applyProtection="0"/>
  </cellStyleXfs>
  <cellXfs count="181">
    <xf numFmtId="0" fontId="0" fillId="0" borderId="0" xfId="0"/>
    <xf numFmtId="0" fontId="1" fillId="0" borderId="0" xfId="1"/>
    <xf numFmtId="0" fontId="2" fillId="0" borderId="1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3" borderId="13" xfId="1" applyFont="1" applyFill="1" applyBorder="1" applyAlignment="1">
      <alignment horizontal="center" vertical="center" wrapText="1"/>
    </xf>
    <xf numFmtId="0" fontId="2" fillId="3" borderId="14" xfId="1" applyFont="1" applyFill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9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0" fontId="2" fillId="3" borderId="20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/>
    </xf>
    <xf numFmtId="0" fontId="2" fillId="0" borderId="0" xfId="0" applyFont="1" applyFill="1"/>
    <xf numFmtId="0" fontId="2" fillId="0" borderId="0" xfId="1" applyFont="1" applyFill="1"/>
    <xf numFmtId="0" fontId="2" fillId="0" borderId="17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1" fontId="2" fillId="0" borderId="1" xfId="1" applyNumberFormat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16" fontId="2" fillId="0" borderId="11" xfId="1" applyNumberFormat="1" applyFont="1" applyFill="1" applyBorder="1" applyAlignment="1">
      <alignment horizontal="center" vertical="center"/>
    </xf>
    <xf numFmtId="14" fontId="2" fillId="0" borderId="11" xfId="1" applyNumberFormat="1" applyFont="1" applyFill="1" applyBorder="1" applyAlignment="1">
      <alignment horizontal="center" vertical="center"/>
    </xf>
    <xf numFmtId="4" fontId="14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9" fillId="0" borderId="1" xfId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7" xfId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left" vertical="center" wrapText="1"/>
    </xf>
    <xf numFmtId="0" fontId="4" fillId="0" borderId="8" xfId="1" applyFont="1" applyFill="1" applyBorder="1" applyAlignment="1">
      <alignment horizontal="center" vertical="center" wrapText="1"/>
    </xf>
    <xf numFmtId="3" fontId="2" fillId="0" borderId="8" xfId="1" applyNumberFormat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2" fillId="0" borderId="22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left" vertical="top" wrapText="1"/>
    </xf>
    <xf numFmtId="49" fontId="2" fillId="0" borderId="11" xfId="1" applyNumberFormat="1" applyFont="1" applyFill="1" applyBorder="1" applyAlignment="1">
      <alignment horizontal="center" vertical="center"/>
    </xf>
    <xf numFmtId="0" fontId="2" fillId="0" borderId="33" xfId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165" fontId="2" fillId="0" borderId="8" xfId="1" applyNumberFormat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164" fontId="4" fillId="0" borderId="3" xfId="1" applyNumberFormat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2" fillId="0" borderId="26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vertical="center"/>
    </xf>
    <xf numFmtId="0" fontId="2" fillId="0" borderId="1" xfId="1" applyFont="1" applyFill="1" applyBorder="1" applyAlignment="1">
      <alignment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2" fillId="0" borderId="26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17" fillId="0" borderId="1" xfId="1" applyFont="1" applyFill="1" applyBorder="1" applyAlignment="1">
      <alignment horizontal="center" vertical="center"/>
    </xf>
    <xf numFmtId="164" fontId="2" fillId="0" borderId="3" xfId="1" applyNumberFormat="1" applyFont="1" applyFill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/>
    <xf numFmtId="2" fontId="4" fillId="0" borderId="1" xfId="0" applyNumberFormat="1" applyFont="1" applyFill="1" applyBorder="1" applyAlignment="1">
      <alignment horizontal="center" vertical="center" wrapText="1"/>
    </xf>
    <xf numFmtId="16" fontId="2" fillId="0" borderId="1" xfId="1" applyNumberFormat="1" applyFont="1" applyFill="1" applyBorder="1" applyAlignment="1">
      <alignment horizontal="center" vertical="center"/>
    </xf>
    <xf numFmtId="166" fontId="14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2" fontId="2" fillId="2" borderId="1" xfId="1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4" fontId="14" fillId="2" borderId="1" xfId="1" applyNumberFormat="1" applyFont="1" applyFill="1" applyBorder="1" applyAlignment="1">
      <alignment horizontal="center" vertical="center" wrapText="1"/>
    </xf>
    <xf numFmtId="0" fontId="2" fillId="2" borderId="12" xfId="1" applyFont="1" applyFill="1" applyBorder="1" applyAlignment="1">
      <alignment horizontal="center" vertical="center" wrapText="1"/>
    </xf>
    <xf numFmtId="164" fontId="14" fillId="2" borderId="1" xfId="1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2" fontId="4" fillId="0" borderId="0" xfId="1" applyNumberFormat="1" applyFont="1" applyFill="1" applyAlignment="1">
      <alignment horizontal="center" vertical="center"/>
    </xf>
    <xf numFmtId="0" fontId="1" fillId="0" borderId="0" xfId="1" applyFill="1"/>
    <xf numFmtId="0" fontId="1" fillId="0" borderId="0" xfId="1" applyFill="1" applyAlignment="1"/>
    <xf numFmtId="4" fontId="2" fillId="0" borderId="0" xfId="1" applyNumberFormat="1" applyFont="1" applyFill="1" applyAlignment="1">
      <alignment horizontal="center" vertical="center"/>
    </xf>
    <xf numFmtId="4" fontId="2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/>
    <xf numFmtId="0" fontId="2" fillId="0" borderId="0" xfId="1" applyFont="1" applyFill="1" applyAlignment="1">
      <alignment wrapText="1"/>
    </xf>
    <xf numFmtId="4" fontId="1" fillId="0" borderId="0" xfId="1" applyNumberFormat="1" applyFill="1" applyAlignment="1">
      <alignment horizontal="center" vertical="center"/>
    </xf>
    <xf numFmtId="0" fontId="0" fillId="0" borderId="0" xfId="0" applyFill="1"/>
    <xf numFmtId="4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3" fontId="2" fillId="2" borderId="1" xfId="1" applyNumberFormat="1" applyFont="1" applyFill="1" applyBorder="1" applyAlignment="1">
      <alignment horizontal="center" vertical="center" wrapText="1"/>
    </xf>
    <xf numFmtId="164" fontId="14" fillId="0" borderId="1" xfId="1" applyNumberFormat="1" applyFont="1" applyFill="1" applyBorder="1" applyAlignment="1">
      <alignment horizontal="center" vertical="center" wrapText="1"/>
    </xf>
    <xf numFmtId="166" fontId="2" fillId="0" borderId="0" xfId="1" applyNumberFormat="1" applyFont="1" applyFill="1" applyAlignment="1">
      <alignment horizontal="center" vertical="center"/>
    </xf>
    <xf numFmtId="4" fontId="14" fillId="2" borderId="1" xfId="1" applyNumberFormat="1" applyFont="1" applyFill="1" applyBorder="1" applyAlignment="1">
      <alignment horizontal="center" vertical="center"/>
    </xf>
    <xf numFmtId="2" fontId="14" fillId="2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 wrapText="1"/>
    </xf>
    <xf numFmtId="2" fontId="14" fillId="0" borderId="1" xfId="1" applyNumberFormat="1" applyFont="1" applyFill="1" applyBorder="1" applyAlignment="1">
      <alignment horizontal="center" vertical="center" wrapText="1"/>
    </xf>
    <xf numFmtId="1" fontId="14" fillId="2" borderId="1" xfId="1" applyNumberFormat="1" applyFont="1" applyFill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2" fontId="4" fillId="2" borderId="5" xfId="1" applyNumberFormat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wrapText="1"/>
    </xf>
    <xf numFmtId="0" fontId="12" fillId="0" borderId="0" xfId="1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vertical="center" wrapText="1"/>
    </xf>
    <xf numFmtId="0" fontId="2" fillId="2" borderId="19" xfId="0" applyFont="1" applyFill="1" applyBorder="1" applyAlignment="1">
      <alignment horizontal="center" vertical="center" wrapText="1"/>
    </xf>
    <xf numFmtId="166" fontId="2" fillId="2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1" fontId="7" fillId="2" borderId="1" xfId="1" applyNumberFormat="1" applyFont="1" applyFill="1" applyBorder="1" applyAlignment="1">
      <alignment horizontal="center" vertical="center" wrapText="1"/>
    </xf>
    <xf numFmtId="166" fontId="7" fillId="2" borderId="1" xfId="1" applyNumberFormat="1" applyFont="1" applyFill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0" fontId="19" fillId="0" borderId="1" xfId="0" applyFont="1" applyBorder="1"/>
    <xf numFmtId="0" fontId="21" fillId="0" borderId="1" xfId="0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10" fontId="2" fillId="0" borderId="0" xfId="0" applyNumberFormat="1" applyFont="1"/>
    <xf numFmtId="43" fontId="2" fillId="0" borderId="0" xfId="2" applyFont="1"/>
    <xf numFmtId="3" fontId="2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/>
    </xf>
    <xf numFmtId="0" fontId="22" fillId="0" borderId="1" xfId="0" applyFont="1" applyBorder="1"/>
    <xf numFmtId="4" fontId="22" fillId="0" borderId="1" xfId="0" applyNumberFormat="1" applyFont="1" applyBorder="1"/>
    <xf numFmtId="0" fontId="21" fillId="0" borderId="1" xfId="0" applyFont="1" applyBorder="1"/>
    <xf numFmtId="4" fontId="21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/>
    <xf numFmtId="4" fontId="7" fillId="2" borderId="1" xfId="1" applyNumberFormat="1" applyFont="1" applyFill="1" applyBorder="1" applyAlignment="1">
      <alignment horizontal="center" vertical="center" wrapText="1"/>
    </xf>
    <xf numFmtId="166" fontId="22" fillId="0" borderId="1" xfId="0" applyNumberFormat="1" applyFont="1" applyBorder="1" applyAlignment="1">
      <alignment horizontal="center" vertical="center"/>
    </xf>
    <xf numFmtId="9" fontId="2" fillId="0" borderId="0" xfId="0" applyNumberFormat="1" applyFont="1"/>
    <xf numFmtId="166" fontId="2" fillId="0" borderId="0" xfId="0" applyNumberFormat="1" applyFont="1"/>
    <xf numFmtId="165" fontId="2" fillId="0" borderId="0" xfId="0" applyNumberFormat="1" applyFont="1"/>
    <xf numFmtId="0" fontId="6" fillId="0" borderId="0" xfId="0" applyFont="1" applyAlignment="1">
      <alignment wrapText="1"/>
    </xf>
    <xf numFmtId="0" fontId="6" fillId="0" borderId="0" xfId="0" applyFont="1"/>
    <xf numFmtId="165" fontId="21" fillId="0" borderId="1" xfId="0" applyNumberFormat="1" applyFont="1" applyBorder="1" applyAlignment="1">
      <alignment horizontal="center" vertical="center" wrapText="1"/>
    </xf>
    <xf numFmtId="43" fontId="0" fillId="0" borderId="0" xfId="0" applyNumberFormat="1"/>
    <xf numFmtId="43" fontId="21" fillId="0" borderId="1" xfId="2" applyFont="1" applyBorder="1"/>
    <xf numFmtId="0" fontId="11" fillId="0" borderId="24" xfId="1" applyFont="1" applyFill="1" applyBorder="1" applyAlignment="1">
      <alignment horizontal="center" vertical="center"/>
    </xf>
    <xf numFmtId="0" fontId="11" fillId="0" borderId="25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0" fontId="12" fillId="0" borderId="0" xfId="1" applyFont="1" applyFill="1" applyAlignment="1">
      <alignment horizontal="center"/>
    </xf>
    <xf numFmtId="0" fontId="11" fillId="0" borderId="32" xfId="1" applyFont="1" applyFill="1" applyBorder="1" applyAlignment="1">
      <alignment horizontal="center" vertical="center" wrapText="1"/>
    </xf>
    <xf numFmtId="0" fontId="11" fillId="0" borderId="27" xfId="1" applyFont="1" applyFill="1" applyBorder="1" applyAlignment="1">
      <alignment horizontal="center" vertical="center" wrapText="1"/>
    </xf>
    <xf numFmtId="0" fontId="11" fillId="0" borderId="30" xfId="1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1" fillId="0" borderId="18" xfId="1" applyFont="1" applyFill="1" applyBorder="1" applyAlignment="1">
      <alignment horizontal="center" vertical="center"/>
    </xf>
    <xf numFmtId="0" fontId="11" fillId="0" borderId="19" xfId="1" applyFont="1" applyFill="1" applyBorder="1" applyAlignment="1">
      <alignment horizontal="center" vertical="center"/>
    </xf>
    <xf numFmtId="0" fontId="11" fillId="0" borderId="31" xfId="1" applyFont="1" applyFill="1" applyBorder="1" applyAlignment="1">
      <alignment horizontal="center" vertical="center"/>
    </xf>
    <xf numFmtId="0" fontId="11" fillId="0" borderId="15" xfId="1" applyFont="1" applyFill="1" applyBorder="1" applyAlignment="1">
      <alignment horizontal="center" vertical="center"/>
    </xf>
    <xf numFmtId="0" fontId="11" fillId="0" borderId="16" xfId="1" applyFont="1" applyFill="1" applyBorder="1" applyAlignment="1">
      <alignment horizontal="center" vertical="center"/>
    </xf>
    <xf numFmtId="0" fontId="16" fillId="0" borderId="23" xfId="1" applyFont="1" applyFill="1" applyBorder="1" applyAlignment="1">
      <alignment horizontal="center" vertical="center" wrapText="1"/>
    </xf>
    <xf numFmtId="0" fontId="16" fillId="0" borderId="21" xfId="1" applyFont="1" applyFill="1" applyBorder="1" applyAlignment="1">
      <alignment horizontal="center" vertical="center" wrapText="1"/>
    </xf>
    <xf numFmtId="0" fontId="16" fillId="0" borderId="10" xfId="1" applyFont="1" applyFill="1" applyBorder="1" applyAlignment="1">
      <alignment horizontal="center" vertical="center" wrapText="1"/>
    </xf>
    <xf numFmtId="0" fontId="11" fillId="0" borderId="24" xfId="1" applyFont="1" applyFill="1" applyBorder="1" applyAlignment="1">
      <alignment horizontal="center" vertical="center" wrapText="1"/>
    </xf>
    <xf numFmtId="0" fontId="11" fillId="0" borderId="25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24" xfId="1" applyFont="1" applyFill="1" applyBorder="1" applyAlignment="1">
      <alignment horizontal="center" wrapText="1"/>
    </xf>
    <xf numFmtId="0" fontId="11" fillId="0" borderId="25" xfId="1" applyFont="1" applyFill="1" applyBorder="1" applyAlignment="1">
      <alignment horizontal="center" wrapText="1"/>
    </xf>
    <xf numFmtId="0" fontId="4" fillId="0" borderId="0" xfId="0" applyFont="1" applyBorder="1" applyAlignment="1">
      <alignment horizontal="center" vertical="center"/>
    </xf>
    <xf numFmtId="0" fontId="20" fillId="0" borderId="34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34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" fillId="2" borderId="35" xfId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 applyAlignment="1"/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4"/>
  <sheetViews>
    <sheetView topLeftCell="A82" zoomScale="80" zoomScaleNormal="80" workbookViewId="0">
      <selection activeCell="E84" sqref="E84"/>
    </sheetView>
  </sheetViews>
  <sheetFormatPr defaultRowHeight="15" x14ac:dyDescent="0.25"/>
  <cols>
    <col min="1" max="1" width="11.42578125" customWidth="1"/>
    <col min="2" max="2" width="48" customWidth="1"/>
    <col min="3" max="3" width="12.5703125" customWidth="1"/>
    <col min="5" max="5" width="16.42578125" customWidth="1"/>
    <col min="6" max="6" width="46.5703125" customWidth="1"/>
    <col min="7" max="7" width="52.140625" customWidth="1"/>
  </cols>
  <sheetData>
    <row r="1" spans="1:8" ht="19.5" x14ac:dyDescent="0.3">
      <c r="A1" s="158" t="s">
        <v>0</v>
      </c>
      <c r="B1" s="158"/>
      <c r="C1" s="158"/>
      <c r="D1" s="158"/>
      <c r="E1" s="158"/>
      <c r="F1" s="158"/>
      <c r="G1" s="1"/>
      <c r="H1" s="1"/>
    </row>
    <row r="2" spans="1:8" ht="15.75" thickBot="1" x14ac:dyDescent="0.3">
      <c r="A2" s="1"/>
      <c r="B2" s="1"/>
      <c r="C2" s="1"/>
      <c r="D2" s="1"/>
      <c r="E2" s="1"/>
      <c r="F2" s="1"/>
      <c r="G2" s="1"/>
      <c r="H2" s="1"/>
    </row>
    <row r="3" spans="1:8" ht="30.75" thickBot="1" x14ac:dyDescent="0.3">
      <c r="A3" s="13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7" t="s">
        <v>6</v>
      </c>
      <c r="G3" s="94"/>
      <c r="H3" s="94"/>
    </row>
    <row r="4" spans="1:8" ht="17.25" thickBot="1" x14ac:dyDescent="0.3">
      <c r="A4" s="24" t="s">
        <v>7</v>
      </c>
      <c r="B4" s="159" t="s">
        <v>275</v>
      </c>
      <c r="C4" s="159"/>
      <c r="D4" s="159"/>
      <c r="E4" s="159"/>
      <c r="F4" s="160"/>
      <c r="G4" s="94"/>
      <c r="H4" s="94"/>
    </row>
    <row r="5" spans="1:8" ht="30" x14ac:dyDescent="0.25">
      <c r="A5" s="25">
        <v>1</v>
      </c>
      <c r="B5" s="26" t="s">
        <v>9</v>
      </c>
      <c r="C5" s="27" t="s">
        <v>10</v>
      </c>
      <c r="D5" s="28" t="s">
        <v>11</v>
      </c>
      <c r="E5" s="92" t="e">
        <f>((E6*E7)/E15)*E11*E12*(E13/E14)</f>
        <v>#DIV/0!</v>
      </c>
      <c r="F5" s="29" t="s">
        <v>238</v>
      </c>
      <c r="G5" s="94"/>
      <c r="H5" s="94"/>
    </row>
    <row r="6" spans="1:8" x14ac:dyDescent="0.25">
      <c r="A6" s="30" t="s">
        <v>13</v>
      </c>
      <c r="B6" s="16" t="s">
        <v>14</v>
      </c>
      <c r="C6" s="15">
        <v>12</v>
      </c>
      <c r="D6" s="31" t="s">
        <v>15</v>
      </c>
      <c r="E6" s="32">
        <v>12</v>
      </c>
      <c r="F6" s="33"/>
      <c r="G6" s="94"/>
      <c r="H6" s="94"/>
    </row>
    <row r="7" spans="1:8" x14ac:dyDescent="0.25">
      <c r="A7" s="34" t="s">
        <v>20</v>
      </c>
      <c r="B7" s="16" t="s">
        <v>274</v>
      </c>
      <c r="C7" s="15" t="s">
        <v>206</v>
      </c>
      <c r="D7" s="31" t="s">
        <v>21</v>
      </c>
      <c r="E7" s="17">
        <f>E8*E9*E10</f>
        <v>0</v>
      </c>
      <c r="F7" s="33" t="s">
        <v>286</v>
      </c>
      <c r="G7" s="94"/>
      <c r="H7" s="94"/>
    </row>
    <row r="8" spans="1:8" ht="45" x14ac:dyDescent="0.25">
      <c r="A8" s="35" t="s">
        <v>22</v>
      </c>
      <c r="B8" s="16" t="s">
        <v>23</v>
      </c>
      <c r="C8" s="15" t="s">
        <v>24</v>
      </c>
      <c r="D8" s="31" t="s">
        <v>21</v>
      </c>
      <c r="E8" s="87"/>
      <c r="F8" s="88"/>
      <c r="G8" s="94"/>
      <c r="H8" s="94"/>
    </row>
    <row r="9" spans="1:8" ht="45" x14ac:dyDescent="0.25">
      <c r="A9" s="30" t="s">
        <v>25</v>
      </c>
      <c r="B9" s="37" t="s">
        <v>26</v>
      </c>
      <c r="C9" s="38" t="s">
        <v>27</v>
      </c>
      <c r="D9" s="31" t="s">
        <v>12</v>
      </c>
      <c r="E9" s="39">
        <v>1.1499999999999999</v>
      </c>
      <c r="F9" s="33" t="s">
        <v>271</v>
      </c>
      <c r="G9" s="94"/>
      <c r="H9" s="94"/>
    </row>
    <row r="10" spans="1:8" ht="45" x14ac:dyDescent="0.25">
      <c r="A10" s="30" t="s">
        <v>28</v>
      </c>
      <c r="B10" s="37" t="s">
        <v>29</v>
      </c>
      <c r="C10" s="38" t="s">
        <v>30</v>
      </c>
      <c r="D10" s="31" t="s">
        <v>12</v>
      </c>
      <c r="E10" s="39">
        <v>1</v>
      </c>
      <c r="F10" s="33" t="s">
        <v>31</v>
      </c>
      <c r="G10" s="94"/>
      <c r="H10" s="94"/>
    </row>
    <row r="11" spans="1:8" ht="30" x14ac:dyDescent="0.25">
      <c r="A11" s="30" t="s">
        <v>32</v>
      </c>
      <c r="B11" s="16" t="s">
        <v>33</v>
      </c>
      <c r="C11" s="15" t="s">
        <v>34</v>
      </c>
      <c r="D11" s="31" t="s">
        <v>8</v>
      </c>
      <c r="E11" s="103"/>
      <c r="F11" s="88" t="s">
        <v>285</v>
      </c>
      <c r="G11" s="94"/>
      <c r="H11" s="94"/>
    </row>
    <row r="12" spans="1:8" ht="75" x14ac:dyDescent="0.25">
      <c r="A12" s="30" t="s">
        <v>35</v>
      </c>
      <c r="B12" s="40" t="s">
        <v>272</v>
      </c>
      <c r="C12" s="15" t="s">
        <v>36</v>
      </c>
      <c r="D12" s="31" t="s">
        <v>182</v>
      </c>
      <c r="E12" s="39">
        <v>1.06</v>
      </c>
      <c r="F12" s="33"/>
      <c r="G12" s="94"/>
      <c r="H12" s="94"/>
    </row>
    <row r="13" spans="1:8" ht="30" x14ac:dyDescent="0.25">
      <c r="A13" s="30" t="s">
        <v>37</v>
      </c>
      <c r="B13" s="16" t="s">
        <v>38</v>
      </c>
      <c r="C13" s="15" t="s">
        <v>39</v>
      </c>
      <c r="D13" s="15" t="s">
        <v>182</v>
      </c>
      <c r="E13" s="104">
        <v>1.0389999999999999</v>
      </c>
      <c r="F13" s="33" t="s">
        <v>40</v>
      </c>
      <c r="G13" s="94"/>
      <c r="H13" s="94"/>
    </row>
    <row r="14" spans="1:8" x14ac:dyDescent="0.25">
      <c r="A14" s="34" t="s">
        <v>41</v>
      </c>
      <c r="B14" s="16" t="s">
        <v>18</v>
      </c>
      <c r="C14" s="15" t="s">
        <v>17</v>
      </c>
      <c r="D14" s="31" t="s">
        <v>19</v>
      </c>
      <c r="E14" s="103"/>
      <c r="F14" s="88" t="s">
        <v>285</v>
      </c>
      <c r="G14" s="94"/>
      <c r="H14" s="94"/>
    </row>
    <row r="15" spans="1:8" ht="30.75" thickBot="1" x14ac:dyDescent="0.3">
      <c r="A15" s="41" t="s">
        <v>42</v>
      </c>
      <c r="B15" s="42" t="s">
        <v>241</v>
      </c>
      <c r="C15" s="43" t="s">
        <v>207</v>
      </c>
      <c r="D15" s="52" t="s">
        <v>8</v>
      </c>
      <c r="E15" s="44">
        <v>1772</v>
      </c>
      <c r="F15" s="45"/>
      <c r="G15" s="94"/>
      <c r="H15" s="94"/>
    </row>
    <row r="16" spans="1:8" ht="17.25" thickBot="1" x14ac:dyDescent="0.3">
      <c r="A16" s="46" t="s">
        <v>45</v>
      </c>
      <c r="B16" s="161" t="s">
        <v>276</v>
      </c>
      <c r="C16" s="162"/>
      <c r="D16" s="162"/>
      <c r="E16" s="162"/>
      <c r="F16" s="163"/>
      <c r="G16" s="94"/>
      <c r="H16" s="94"/>
    </row>
    <row r="17" spans="1:8" ht="60" x14ac:dyDescent="0.25">
      <c r="A17" s="25">
        <v>2</v>
      </c>
      <c r="B17" s="47" t="s">
        <v>46</v>
      </c>
      <c r="C17" s="27" t="s">
        <v>208</v>
      </c>
      <c r="D17" s="28" t="s">
        <v>11</v>
      </c>
      <c r="E17" s="115" t="e">
        <f>E5*E18</f>
        <v>#DIV/0!</v>
      </c>
      <c r="F17" s="116" t="s">
        <v>307</v>
      </c>
      <c r="G17" s="117" t="s">
        <v>309</v>
      </c>
      <c r="H17" s="94"/>
    </row>
    <row r="18" spans="1:8" ht="135.75" thickBot="1" x14ac:dyDescent="0.3">
      <c r="A18" s="48" t="s">
        <v>308</v>
      </c>
      <c r="B18" s="16" t="s">
        <v>273</v>
      </c>
      <c r="C18" s="15" t="s">
        <v>243</v>
      </c>
      <c r="D18" s="31" t="s">
        <v>182</v>
      </c>
      <c r="E18" s="83"/>
      <c r="F18" s="88" t="s">
        <v>242</v>
      </c>
      <c r="G18" s="94"/>
      <c r="H18" s="94"/>
    </row>
    <row r="19" spans="1:8" ht="16.5" x14ac:dyDescent="0.25">
      <c r="A19" s="49" t="s">
        <v>48</v>
      </c>
      <c r="B19" s="155" t="s">
        <v>277</v>
      </c>
      <c r="C19" s="156"/>
      <c r="D19" s="156"/>
      <c r="E19" s="156"/>
      <c r="F19" s="157"/>
      <c r="G19" s="94"/>
      <c r="H19" s="94"/>
    </row>
    <row r="20" spans="1:8" ht="30" x14ac:dyDescent="0.25">
      <c r="A20" s="18">
        <v>3</v>
      </c>
      <c r="B20" s="16" t="s">
        <v>49</v>
      </c>
      <c r="C20" s="15" t="s">
        <v>50</v>
      </c>
      <c r="D20" s="31" t="s">
        <v>11</v>
      </c>
      <c r="E20" s="50" t="e">
        <f>SUM(E21+E22)*(E23/100)</f>
        <v>#DIV/0!</v>
      </c>
      <c r="F20" s="19" t="s">
        <v>244</v>
      </c>
      <c r="G20" s="94"/>
      <c r="H20" s="94"/>
    </row>
    <row r="21" spans="1:8" ht="30" x14ac:dyDescent="0.25">
      <c r="A21" s="18" t="s">
        <v>51</v>
      </c>
      <c r="B21" s="16" t="s">
        <v>52</v>
      </c>
      <c r="C21" s="15" t="s">
        <v>10</v>
      </c>
      <c r="D21" s="31" t="s">
        <v>11</v>
      </c>
      <c r="E21" s="39" t="e">
        <f>SUM(E5)</f>
        <v>#DIV/0!</v>
      </c>
      <c r="F21" s="51"/>
      <c r="G21" s="94"/>
      <c r="H21" s="94"/>
    </row>
    <row r="22" spans="1:8" ht="30" x14ac:dyDescent="0.25">
      <c r="A22" s="18" t="s">
        <v>53</v>
      </c>
      <c r="B22" s="16" t="s">
        <v>46</v>
      </c>
      <c r="C22" s="15" t="s">
        <v>47</v>
      </c>
      <c r="D22" s="31" t="s">
        <v>11</v>
      </c>
      <c r="E22" s="39" t="e">
        <f>SUM(E17)</f>
        <v>#DIV/0!</v>
      </c>
      <c r="F22" s="51"/>
      <c r="G22" s="94"/>
      <c r="H22" s="94"/>
    </row>
    <row r="23" spans="1:8" ht="30.75" thickBot="1" x14ac:dyDescent="0.3">
      <c r="A23" s="41" t="s">
        <v>54</v>
      </c>
      <c r="B23" s="42" t="s">
        <v>280</v>
      </c>
      <c r="C23" s="43" t="s">
        <v>56</v>
      </c>
      <c r="D23" s="52" t="s">
        <v>57</v>
      </c>
      <c r="E23" s="53">
        <v>30.2</v>
      </c>
      <c r="F23" s="54" t="s">
        <v>58</v>
      </c>
      <c r="G23" s="94"/>
      <c r="H23" s="94"/>
    </row>
    <row r="24" spans="1:8" ht="16.5" x14ac:dyDescent="0.25">
      <c r="A24" s="55" t="s">
        <v>59</v>
      </c>
      <c r="B24" s="164" t="s">
        <v>278</v>
      </c>
      <c r="C24" s="165"/>
      <c r="D24" s="165"/>
      <c r="E24" s="165"/>
      <c r="F24" s="166"/>
      <c r="G24" s="94"/>
      <c r="H24" s="94"/>
    </row>
    <row r="25" spans="1:8" ht="30" x14ac:dyDescent="0.25">
      <c r="A25" s="18">
        <v>4</v>
      </c>
      <c r="B25" s="56" t="s">
        <v>60</v>
      </c>
      <c r="C25" s="57" t="s">
        <v>61</v>
      </c>
      <c r="D25" s="58" t="s">
        <v>11</v>
      </c>
      <c r="E25" s="59" t="e">
        <f>E26*((E27/100)*(1+0.01*E28)+((E29/E30)*(E31/12)))*E32</f>
        <v>#DIV/0!</v>
      </c>
      <c r="F25" s="60" t="s">
        <v>245</v>
      </c>
      <c r="G25" s="94"/>
      <c r="H25" s="94"/>
    </row>
    <row r="26" spans="1:8" x14ac:dyDescent="0.25">
      <c r="A26" s="61" t="s">
        <v>62</v>
      </c>
      <c r="B26" s="16" t="s">
        <v>63</v>
      </c>
      <c r="C26" s="15" t="s">
        <v>64</v>
      </c>
      <c r="D26" s="31" t="s">
        <v>21</v>
      </c>
      <c r="E26" s="87"/>
      <c r="F26" s="85"/>
      <c r="G26" s="94"/>
      <c r="H26" s="94"/>
    </row>
    <row r="27" spans="1:8" ht="120" x14ac:dyDescent="0.25">
      <c r="A27" s="61" t="s">
        <v>65</v>
      </c>
      <c r="B27" s="16" t="s">
        <v>279</v>
      </c>
      <c r="C27" s="15" t="s">
        <v>246</v>
      </c>
      <c r="D27" s="31" t="s">
        <v>66</v>
      </c>
      <c r="E27" s="91"/>
      <c r="F27" s="85" t="s">
        <v>293</v>
      </c>
      <c r="G27" s="94"/>
      <c r="H27" s="94"/>
    </row>
    <row r="28" spans="1:8" ht="150" x14ac:dyDescent="0.25">
      <c r="A28" s="61" t="s">
        <v>67</v>
      </c>
      <c r="B28" s="16" t="s">
        <v>68</v>
      </c>
      <c r="C28" s="15" t="s">
        <v>69</v>
      </c>
      <c r="D28" s="31" t="s">
        <v>57</v>
      </c>
      <c r="E28" s="36">
        <v>10</v>
      </c>
      <c r="F28" s="19" t="s">
        <v>70</v>
      </c>
      <c r="G28" s="94"/>
      <c r="H28" s="94"/>
    </row>
    <row r="29" spans="1:8" ht="60" x14ac:dyDescent="0.25">
      <c r="A29" s="61" t="s">
        <v>71</v>
      </c>
      <c r="B29" s="16" t="s">
        <v>72</v>
      </c>
      <c r="C29" s="62" t="s">
        <v>247</v>
      </c>
      <c r="D29" s="31" t="s">
        <v>73</v>
      </c>
      <c r="E29" s="105">
        <v>0</v>
      </c>
      <c r="F29" s="19" t="s">
        <v>297</v>
      </c>
      <c r="G29" s="94"/>
      <c r="H29" s="94"/>
    </row>
    <row r="30" spans="1:8" ht="30" x14ac:dyDescent="0.25">
      <c r="A30" s="61" t="s">
        <v>74</v>
      </c>
      <c r="B30" s="16" t="s">
        <v>75</v>
      </c>
      <c r="C30" s="62" t="s">
        <v>76</v>
      </c>
      <c r="D30" s="31" t="s">
        <v>77</v>
      </c>
      <c r="E30" s="106"/>
      <c r="F30" s="88"/>
      <c r="G30" s="94"/>
      <c r="H30" s="94"/>
    </row>
    <row r="31" spans="1:8" ht="45" x14ac:dyDescent="0.25">
      <c r="A31" s="61" t="s">
        <v>78</v>
      </c>
      <c r="B31" s="16" t="s">
        <v>79</v>
      </c>
      <c r="C31" s="62" t="s">
        <v>80</v>
      </c>
      <c r="D31" s="31" t="s">
        <v>220</v>
      </c>
      <c r="E31" s="107"/>
      <c r="F31" s="88"/>
      <c r="G31" s="94"/>
      <c r="H31" s="94"/>
    </row>
    <row r="32" spans="1:8" ht="30" x14ac:dyDescent="0.25">
      <c r="A32" s="61" t="s">
        <v>81</v>
      </c>
      <c r="B32" s="16" t="s">
        <v>82</v>
      </c>
      <c r="C32" s="15" t="s">
        <v>83</v>
      </c>
      <c r="D32" s="15" t="s">
        <v>182</v>
      </c>
      <c r="E32" s="104">
        <v>1.0409999999999999</v>
      </c>
      <c r="F32" s="63" t="s">
        <v>218</v>
      </c>
      <c r="G32" s="94"/>
      <c r="H32" s="94"/>
    </row>
    <row r="33" spans="1:8" ht="16.5" x14ac:dyDescent="0.25">
      <c r="A33" s="18" t="s">
        <v>84</v>
      </c>
      <c r="B33" s="167" t="s">
        <v>281</v>
      </c>
      <c r="C33" s="168"/>
      <c r="D33" s="168"/>
      <c r="E33" s="168"/>
      <c r="F33" s="169"/>
      <c r="G33" s="94"/>
      <c r="H33" s="94"/>
    </row>
    <row r="34" spans="1:8" ht="30" x14ac:dyDescent="0.25">
      <c r="A34" s="18">
        <v>5</v>
      </c>
      <c r="B34" s="16" t="s">
        <v>85</v>
      </c>
      <c r="C34" s="15" t="s">
        <v>86</v>
      </c>
      <c r="D34" s="58" t="s">
        <v>11</v>
      </c>
      <c r="E34" s="64" t="e">
        <f>0.075*E35</f>
        <v>#DIV/0!</v>
      </c>
      <c r="F34" s="19" t="s">
        <v>248</v>
      </c>
      <c r="G34" s="94"/>
      <c r="H34" s="94"/>
    </row>
    <row r="35" spans="1:8" ht="17.25" x14ac:dyDescent="0.25">
      <c r="A35" s="18" t="s">
        <v>87</v>
      </c>
      <c r="B35" s="56" t="s">
        <v>60</v>
      </c>
      <c r="C35" s="57" t="s">
        <v>61</v>
      </c>
      <c r="D35" s="58" t="s">
        <v>11</v>
      </c>
      <c r="E35" s="65" t="e">
        <f>SUM(E25)</f>
        <v>#DIV/0!</v>
      </c>
      <c r="F35" s="51" t="s">
        <v>88</v>
      </c>
      <c r="G35" s="94"/>
      <c r="H35" s="94"/>
    </row>
    <row r="36" spans="1:8" ht="16.5" x14ac:dyDescent="0.25">
      <c r="A36" s="18" t="s">
        <v>89</v>
      </c>
      <c r="B36" s="167" t="s">
        <v>282</v>
      </c>
      <c r="C36" s="168"/>
      <c r="D36" s="168"/>
      <c r="E36" s="168"/>
      <c r="F36" s="169"/>
      <c r="G36" s="94"/>
      <c r="H36" s="94"/>
    </row>
    <row r="37" spans="1:8" ht="17.25" x14ac:dyDescent="0.25">
      <c r="A37" s="18">
        <v>6</v>
      </c>
      <c r="B37" s="16" t="s">
        <v>90</v>
      </c>
      <c r="C37" s="15" t="s">
        <v>91</v>
      </c>
      <c r="D37" s="31" t="s">
        <v>11</v>
      </c>
      <c r="E37" s="64">
        <f>E38*E39</f>
        <v>0.29204000000000002</v>
      </c>
      <c r="F37" s="19" t="s">
        <v>249</v>
      </c>
      <c r="G37" s="94"/>
      <c r="H37" s="94"/>
    </row>
    <row r="38" spans="1:8" ht="105" x14ac:dyDescent="0.25">
      <c r="A38" s="18" t="s">
        <v>92</v>
      </c>
      <c r="B38" s="16" t="s">
        <v>93</v>
      </c>
      <c r="C38" s="15" t="s">
        <v>94</v>
      </c>
      <c r="D38" s="31" t="s">
        <v>16</v>
      </c>
      <c r="E38" s="39">
        <v>0.28000000000000003</v>
      </c>
      <c r="F38" s="19" t="s">
        <v>287</v>
      </c>
      <c r="G38" s="94"/>
      <c r="H38" s="94"/>
    </row>
    <row r="39" spans="1:8" ht="75" x14ac:dyDescent="0.25">
      <c r="A39" s="18" t="s">
        <v>95</v>
      </c>
      <c r="B39" s="16" t="s">
        <v>96</v>
      </c>
      <c r="C39" s="15" t="s">
        <v>97</v>
      </c>
      <c r="D39" s="15" t="s">
        <v>16</v>
      </c>
      <c r="E39" s="104">
        <f>1.043</f>
        <v>1.0429999999999999</v>
      </c>
      <c r="F39" s="19" t="s">
        <v>98</v>
      </c>
      <c r="G39" s="94"/>
      <c r="H39" s="94"/>
    </row>
    <row r="40" spans="1:8" ht="16.5" x14ac:dyDescent="0.25">
      <c r="A40" s="18" t="s">
        <v>99</v>
      </c>
      <c r="B40" s="151" t="s">
        <v>283</v>
      </c>
      <c r="C40" s="152"/>
      <c r="D40" s="152"/>
      <c r="E40" s="152"/>
      <c r="F40" s="153"/>
      <c r="G40" s="94"/>
      <c r="H40" s="94"/>
    </row>
    <row r="41" spans="1:8" ht="17.25" x14ac:dyDescent="0.25">
      <c r="A41" s="18" t="s">
        <v>100</v>
      </c>
      <c r="B41" s="16" t="s">
        <v>101</v>
      </c>
      <c r="C41" s="15" t="s">
        <v>102</v>
      </c>
      <c r="D41" s="31" t="s">
        <v>11</v>
      </c>
      <c r="E41" s="64">
        <f>E42+E56</f>
        <v>4.1719999999999997</v>
      </c>
      <c r="F41" s="19" t="s">
        <v>250</v>
      </c>
      <c r="G41" s="94"/>
      <c r="H41" s="94"/>
    </row>
    <row r="42" spans="1:8" ht="30" x14ac:dyDescent="0.25">
      <c r="A42" s="18" t="s">
        <v>103</v>
      </c>
      <c r="B42" s="16" t="s">
        <v>104</v>
      </c>
      <c r="C42" s="15" t="s">
        <v>105</v>
      </c>
      <c r="D42" s="31" t="s">
        <v>11</v>
      </c>
      <c r="E42" s="39">
        <f>(E44*(E47/E54))*E46*((E51/E45)+(E52*E53))*E43*(1+(E55/100))</f>
        <v>0</v>
      </c>
      <c r="F42" s="19" t="s">
        <v>251</v>
      </c>
      <c r="G42" s="94"/>
      <c r="H42" s="94"/>
    </row>
    <row r="43" spans="1:8" ht="45" x14ac:dyDescent="0.25">
      <c r="A43" s="18" t="s">
        <v>106</v>
      </c>
      <c r="B43" s="66" t="s">
        <v>107</v>
      </c>
      <c r="C43" s="18">
        <v>1E-3</v>
      </c>
      <c r="D43" s="18" t="s">
        <v>16</v>
      </c>
      <c r="E43" s="18">
        <v>1E-3</v>
      </c>
      <c r="F43" s="67"/>
      <c r="G43" s="94"/>
      <c r="H43" s="94"/>
    </row>
    <row r="44" spans="1:8" x14ac:dyDescent="0.25">
      <c r="A44" s="18" t="s">
        <v>108</v>
      </c>
      <c r="B44" s="16" t="s">
        <v>14</v>
      </c>
      <c r="C44" s="15">
        <v>12</v>
      </c>
      <c r="D44" s="31" t="s">
        <v>15</v>
      </c>
      <c r="E44" s="32">
        <v>12</v>
      </c>
      <c r="F44" s="67"/>
      <c r="G44" s="94"/>
      <c r="H44" s="94"/>
    </row>
    <row r="45" spans="1:8" ht="60" x14ac:dyDescent="0.25">
      <c r="A45" s="18" t="s">
        <v>109</v>
      </c>
      <c r="B45" s="16" t="s">
        <v>253</v>
      </c>
      <c r="C45" s="15" t="s">
        <v>252</v>
      </c>
      <c r="D45" s="31" t="s">
        <v>182</v>
      </c>
      <c r="E45" s="39">
        <v>0.9</v>
      </c>
      <c r="F45" s="108" t="s">
        <v>254</v>
      </c>
      <c r="G45" s="94"/>
      <c r="H45" s="94"/>
    </row>
    <row r="46" spans="1:8" ht="30" x14ac:dyDescent="0.25">
      <c r="A46" s="30" t="s">
        <v>110</v>
      </c>
      <c r="B46" s="16" t="s">
        <v>38</v>
      </c>
      <c r="C46" s="15" t="s">
        <v>39</v>
      </c>
      <c r="D46" s="15" t="s">
        <v>182</v>
      </c>
      <c r="E46" s="109">
        <f>E13</f>
        <v>1.0389999999999999</v>
      </c>
      <c r="F46" s="33" t="s">
        <v>40</v>
      </c>
      <c r="G46" s="94"/>
      <c r="H46" s="94"/>
    </row>
    <row r="47" spans="1:8" ht="30" x14ac:dyDescent="0.25">
      <c r="A47" s="19" t="s">
        <v>111</v>
      </c>
      <c r="B47" s="66" t="s">
        <v>257</v>
      </c>
      <c r="C47" s="15" t="s">
        <v>112</v>
      </c>
      <c r="D47" s="31" t="s">
        <v>21</v>
      </c>
      <c r="E47" s="17">
        <f>E48*E49*E50</f>
        <v>0</v>
      </c>
      <c r="F47" s="19" t="s">
        <v>113</v>
      </c>
      <c r="G47" s="94"/>
      <c r="H47" s="94"/>
    </row>
    <row r="48" spans="1:8" ht="75" x14ac:dyDescent="0.25">
      <c r="A48" s="18" t="s">
        <v>114</v>
      </c>
      <c r="B48" s="16" t="s">
        <v>115</v>
      </c>
      <c r="C48" s="15" t="s">
        <v>24</v>
      </c>
      <c r="D48" s="31" t="s">
        <v>21</v>
      </c>
      <c r="E48" s="36">
        <f>E8</f>
        <v>0</v>
      </c>
      <c r="F48" s="33"/>
      <c r="G48" s="94"/>
      <c r="H48" s="94"/>
    </row>
    <row r="49" spans="1:8" ht="45" x14ac:dyDescent="0.25">
      <c r="A49" s="18" t="s">
        <v>116</v>
      </c>
      <c r="B49" s="66" t="s">
        <v>284</v>
      </c>
      <c r="C49" s="15" t="s">
        <v>217</v>
      </c>
      <c r="D49" s="15" t="s">
        <v>182</v>
      </c>
      <c r="E49" s="39">
        <v>1</v>
      </c>
      <c r="F49" s="19"/>
      <c r="G49" s="94"/>
      <c r="H49" s="94"/>
    </row>
    <row r="50" spans="1:8" ht="45" x14ac:dyDescent="0.25">
      <c r="A50" s="18" t="s">
        <v>117</v>
      </c>
      <c r="B50" s="68" t="s">
        <v>29</v>
      </c>
      <c r="C50" s="38" t="s">
        <v>30</v>
      </c>
      <c r="D50" s="31" t="s">
        <v>12</v>
      </c>
      <c r="E50" s="39">
        <v>1</v>
      </c>
      <c r="F50" s="33" t="s">
        <v>31</v>
      </c>
      <c r="G50" s="94"/>
      <c r="H50" s="94"/>
    </row>
    <row r="51" spans="1:8" ht="105" x14ac:dyDescent="0.25">
      <c r="A51" s="18" t="s">
        <v>118</v>
      </c>
      <c r="B51" s="16" t="s">
        <v>119</v>
      </c>
      <c r="C51" s="15" t="s">
        <v>120</v>
      </c>
      <c r="D51" s="15" t="s">
        <v>16</v>
      </c>
      <c r="E51" s="39">
        <v>8</v>
      </c>
      <c r="F51" s="19" t="s">
        <v>288</v>
      </c>
      <c r="G51" s="94"/>
      <c r="H51" s="94"/>
    </row>
    <row r="52" spans="1:8" ht="105" x14ac:dyDescent="0.25">
      <c r="A52" s="18" t="s">
        <v>122</v>
      </c>
      <c r="B52" s="16" t="s">
        <v>123</v>
      </c>
      <c r="C52" s="15" t="s">
        <v>124</v>
      </c>
      <c r="D52" s="15" t="s">
        <v>16</v>
      </c>
      <c r="E52" s="18">
        <v>6.4</v>
      </c>
      <c r="F52" s="19" t="s">
        <v>289</v>
      </c>
      <c r="G52" s="94"/>
      <c r="H52" s="94"/>
    </row>
    <row r="53" spans="1:8" ht="45" x14ac:dyDescent="0.25">
      <c r="A53" s="18" t="s">
        <v>125</v>
      </c>
      <c r="B53" s="16" t="s">
        <v>256</v>
      </c>
      <c r="C53" s="20" t="s">
        <v>255</v>
      </c>
      <c r="D53" s="15" t="s">
        <v>16</v>
      </c>
      <c r="E53" s="39">
        <f>SUM('КЗп, КЗ, КЗЧ'!C4)</f>
        <v>1.2</v>
      </c>
      <c r="F53" s="19" t="s">
        <v>254</v>
      </c>
      <c r="G53" s="94"/>
      <c r="H53" s="94"/>
    </row>
    <row r="54" spans="1:8" ht="30" x14ac:dyDescent="0.25">
      <c r="A54" s="18" t="s">
        <v>126</v>
      </c>
      <c r="B54" s="16" t="s">
        <v>43</v>
      </c>
      <c r="C54" s="15" t="s">
        <v>44</v>
      </c>
      <c r="D54" s="15" t="s">
        <v>8</v>
      </c>
      <c r="E54" s="12">
        <v>1812</v>
      </c>
      <c r="F54" s="19"/>
      <c r="G54" s="94"/>
      <c r="H54" s="94"/>
    </row>
    <row r="55" spans="1:8" ht="30" x14ac:dyDescent="0.25">
      <c r="A55" s="18" t="s">
        <v>127</v>
      </c>
      <c r="B55" s="16" t="s">
        <v>55</v>
      </c>
      <c r="C55" s="15" t="s">
        <v>56</v>
      </c>
      <c r="D55" s="31" t="s">
        <v>57</v>
      </c>
      <c r="E55" s="69">
        <v>30.2</v>
      </c>
      <c r="F55" s="19" t="s">
        <v>58</v>
      </c>
      <c r="G55" s="94"/>
      <c r="H55" s="94"/>
    </row>
    <row r="56" spans="1:8" ht="45" x14ac:dyDescent="0.25">
      <c r="A56" s="18" t="s">
        <v>128</v>
      </c>
      <c r="B56" s="16" t="s">
        <v>129</v>
      </c>
      <c r="C56" s="15" t="s">
        <v>130</v>
      </c>
      <c r="D56" s="31" t="s">
        <v>11</v>
      </c>
      <c r="E56" s="39">
        <f>E57*E58*E59</f>
        <v>4.1719999999999997</v>
      </c>
      <c r="F56" s="19" t="s">
        <v>259</v>
      </c>
      <c r="G56" s="94"/>
      <c r="H56" s="94"/>
    </row>
    <row r="57" spans="1:8" ht="90" x14ac:dyDescent="0.25">
      <c r="A57" s="18" t="s">
        <v>131</v>
      </c>
      <c r="B57" s="16" t="s">
        <v>132</v>
      </c>
      <c r="C57" s="15" t="s">
        <v>133</v>
      </c>
      <c r="D57" s="15" t="s">
        <v>182</v>
      </c>
      <c r="E57" s="39">
        <v>3.2</v>
      </c>
      <c r="F57" s="19" t="s">
        <v>290</v>
      </c>
      <c r="G57" s="94"/>
      <c r="H57" s="94"/>
    </row>
    <row r="58" spans="1:8" ht="45" x14ac:dyDescent="0.25">
      <c r="A58" s="18" t="s">
        <v>134</v>
      </c>
      <c r="B58" s="16" t="s">
        <v>258</v>
      </c>
      <c r="C58" s="15" t="s">
        <v>135</v>
      </c>
      <c r="D58" s="15" t="s">
        <v>182</v>
      </c>
      <c r="E58" s="39">
        <f>SUM('КЗп, КЗ, КЗЧ'!D4)</f>
        <v>1.25</v>
      </c>
      <c r="F58" s="19" t="s">
        <v>121</v>
      </c>
      <c r="G58" s="94"/>
      <c r="H58" s="94"/>
    </row>
    <row r="59" spans="1:8" ht="75" x14ac:dyDescent="0.25">
      <c r="A59" s="18" t="s">
        <v>134</v>
      </c>
      <c r="B59" s="16" t="s">
        <v>96</v>
      </c>
      <c r="C59" s="15" t="s">
        <v>97</v>
      </c>
      <c r="D59" s="15" t="s">
        <v>16</v>
      </c>
      <c r="E59" s="89">
        <f>E39</f>
        <v>1.0429999999999999</v>
      </c>
      <c r="F59" s="85" t="s">
        <v>136</v>
      </c>
      <c r="G59" s="94"/>
      <c r="H59" s="94"/>
    </row>
    <row r="60" spans="1:8" ht="16.5" x14ac:dyDescent="0.25">
      <c r="A60" s="70" t="s">
        <v>137</v>
      </c>
      <c r="B60" s="170" t="s">
        <v>138</v>
      </c>
      <c r="C60" s="171"/>
      <c r="D60" s="171"/>
      <c r="E60" s="171"/>
      <c r="F60" s="171"/>
      <c r="G60" s="94"/>
      <c r="H60" s="94"/>
    </row>
    <row r="61" spans="1:8" ht="45" x14ac:dyDescent="0.25">
      <c r="A61" s="18">
        <v>8</v>
      </c>
      <c r="B61" s="63" t="s">
        <v>139</v>
      </c>
      <c r="C61" s="71" t="s">
        <v>140</v>
      </c>
      <c r="D61" s="72" t="s">
        <v>11</v>
      </c>
      <c r="E61" s="50" t="e">
        <f>E62*(E63+E64+E65+E66)</f>
        <v>#DIV/0!</v>
      </c>
      <c r="F61" s="19" t="s">
        <v>260</v>
      </c>
      <c r="G61" s="94"/>
      <c r="H61" s="94"/>
    </row>
    <row r="62" spans="1:8" ht="45" x14ac:dyDescent="0.25">
      <c r="A62" s="18" t="s">
        <v>141</v>
      </c>
      <c r="B62" s="37" t="s">
        <v>142</v>
      </c>
      <c r="C62" s="73" t="s">
        <v>143</v>
      </c>
      <c r="D62" s="74" t="s">
        <v>144</v>
      </c>
      <c r="E62" s="86"/>
      <c r="F62" s="85" t="s">
        <v>145</v>
      </c>
      <c r="G62" s="94"/>
      <c r="H62" s="94"/>
    </row>
    <row r="63" spans="1:8" ht="17.25" x14ac:dyDescent="0.25">
      <c r="A63" s="18" t="s">
        <v>146</v>
      </c>
      <c r="B63" s="56" t="s">
        <v>60</v>
      </c>
      <c r="C63" s="57" t="s">
        <v>61</v>
      </c>
      <c r="D63" s="58" t="s">
        <v>11</v>
      </c>
      <c r="E63" s="75" t="e">
        <f>E35</f>
        <v>#DIV/0!</v>
      </c>
      <c r="F63" s="76"/>
      <c r="G63" s="94"/>
      <c r="H63" s="94"/>
    </row>
    <row r="64" spans="1:8" ht="30" x14ac:dyDescent="0.25">
      <c r="A64" s="18" t="s">
        <v>147</v>
      </c>
      <c r="B64" s="16" t="s">
        <v>85</v>
      </c>
      <c r="C64" s="15" t="s">
        <v>86</v>
      </c>
      <c r="D64" s="58" t="s">
        <v>11</v>
      </c>
      <c r="E64" s="77" t="e">
        <f>E34</f>
        <v>#DIV/0!</v>
      </c>
      <c r="F64" s="78"/>
      <c r="G64" s="94"/>
      <c r="H64" s="94"/>
    </row>
    <row r="65" spans="1:8" ht="17.25" x14ac:dyDescent="0.25">
      <c r="A65" s="21" t="s">
        <v>148</v>
      </c>
      <c r="B65" s="16" t="s">
        <v>90</v>
      </c>
      <c r="C65" s="15" t="s">
        <v>91</v>
      </c>
      <c r="D65" s="31" t="s">
        <v>11</v>
      </c>
      <c r="E65" s="77">
        <f>E37</f>
        <v>0.29204000000000002</v>
      </c>
      <c r="F65" s="78"/>
      <c r="G65" s="94"/>
      <c r="H65" s="94"/>
    </row>
    <row r="66" spans="1:8" ht="17.25" x14ac:dyDescent="0.25">
      <c r="A66" s="21" t="s">
        <v>149</v>
      </c>
      <c r="B66" s="16" t="s">
        <v>101</v>
      </c>
      <c r="C66" s="15" t="s">
        <v>102</v>
      </c>
      <c r="D66" s="31" t="s">
        <v>11</v>
      </c>
      <c r="E66" s="77">
        <f>E41</f>
        <v>4.1719999999999997</v>
      </c>
      <c r="F66" s="78"/>
      <c r="G66" s="94"/>
      <c r="H66" s="94"/>
    </row>
    <row r="67" spans="1:8" ht="16.5" x14ac:dyDescent="0.25">
      <c r="A67" s="21" t="s">
        <v>150</v>
      </c>
      <c r="B67" s="151" t="s">
        <v>151</v>
      </c>
      <c r="C67" s="152"/>
      <c r="D67" s="152"/>
      <c r="E67" s="152"/>
      <c r="F67" s="153"/>
      <c r="G67" s="94"/>
      <c r="H67" s="94"/>
    </row>
    <row r="68" spans="1:8" ht="31.5" x14ac:dyDescent="0.25">
      <c r="A68" s="18">
        <v>9</v>
      </c>
      <c r="B68" s="16" t="s">
        <v>152</v>
      </c>
      <c r="C68" s="15" t="s">
        <v>153</v>
      </c>
      <c r="D68" s="31" t="s">
        <v>11</v>
      </c>
      <c r="E68" s="79" t="e">
        <f>E5+E17+E20+E25+E34+E37+E41+E61</f>
        <v>#DIV/0!</v>
      </c>
      <c r="F68" s="19" t="s">
        <v>154</v>
      </c>
      <c r="G68" s="94"/>
      <c r="H68" s="94"/>
    </row>
    <row r="69" spans="1:8" x14ac:dyDescent="0.25">
      <c r="A69" s="22"/>
      <c r="B69" s="22"/>
      <c r="C69" s="22"/>
      <c r="D69" s="22"/>
      <c r="E69" s="22"/>
      <c r="F69" s="22"/>
      <c r="G69" s="97"/>
      <c r="H69" s="97"/>
    </row>
    <row r="70" spans="1:8" ht="19.5" x14ac:dyDescent="0.3">
      <c r="A70" s="154" t="s">
        <v>155</v>
      </c>
      <c r="B70" s="154"/>
      <c r="C70" s="154"/>
      <c r="D70" s="154"/>
      <c r="E70" s="154"/>
      <c r="F70" s="154"/>
      <c r="G70" s="97"/>
      <c r="H70" s="97"/>
    </row>
    <row r="71" spans="1:8" x14ac:dyDescent="0.25">
      <c r="A71" s="23"/>
      <c r="B71" s="23"/>
      <c r="C71" s="23"/>
      <c r="D71" s="23"/>
      <c r="E71" s="23"/>
      <c r="F71" s="23"/>
      <c r="G71" s="97"/>
      <c r="H71" s="97"/>
    </row>
    <row r="72" spans="1:8" ht="30" x14ac:dyDescent="0.25">
      <c r="A72" s="18">
        <v>10</v>
      </c>
      <c r="B72" s="16" t="s">
        <v>156</v>
      </c>
      <c r="C72" s="20" t="s">
        <v>157</v>
      </c>
      <c r="D72" s="31" t="s">
        <v>21</v>
      </c>
      <c r="E72" s="17" t="e">
        <f>(E73*E74*E75/E76)+E78*E79*E77*E81*E82/(12*E80)</f>
        <v>#DIV/0!</v>
      </c>
      <c r="F72" s="19" t="s">
        <v>261</v>
      </c>
      <c r="G72" s="97"/>
      <c r="H72" s="97"/>
    </row>
    <row r="73" spans="1:8" ht="17.25" x14ac:dyDescent="0.25">
      <c r="A73" s="80" t="s">
        <v>158</v>
      </c>
      <c r="B73" s="16" t="s">
        <v>159</v>
      </c>
      <c r="C73" s="15" t="s">
        <v>153</v>
      </c>
      <c r="D73" s="31" t="s">
        <v>11</v>
      </c>
      <c r="E73" s="17" t="e">
        <f>E68</f>
        <v>#DIV/0!</v>
      </c>
      <c r="F73" s="19" t="s">
        <v>12</v>
      </c>
      <c r="G73" s="97"/>
      <c r="H73" s="97"/>
    </row>
    <row r="74" spans="1:8" ht="30" x14ac:dyDescent="0.25">
      <c r="A74" s="18" t="s">
        <v>160</v>
      </c>
      <c r="B74" s="16" t="s">
        <v>161</v>
      </c>
      <c r="C74" s="15" t="s">
        <v>262</v>
      </c>
      <c r="D74" s="31" t="s">
        <v>144</v>
      </c>
      <c r="E74" s="20">
        <v>1.0960000000000001</v>
      </c>
      <c r="F74" s="19" t="s">
        <v>16</v>
      </c>
      <c r="G74" s="97"/>
      <c r="H74" s="97"/>
    </row>
    <row r="75" spans="1:8" ht="30" customHeight="1" x14ac:dyDescent="0.25">
      <c r="A75" s="18" t="s">
        <v>162</v>
      </c>
      <c r="B75" s="16" t="s">
        <v>18</v>
      </c>
      <c r="C75" s="15" t="s">
        <v>17</v>
      </c>
      <c r="D75" s="31" t="s">
        <v>19</v>
      </c>
      <c r="E75" s="103"/>
      <c r="F75" s="111" t="s">
        <v>291</v>
      </c>
      <c r="G75" s="97"/>
      <c r="H75" s="97"/>
    </row>
    <row r="76" spans="1:8" ht="45" x14ac:dyDescent="0.25">
      <c r="A76" s="18" t="s">
        <v>163</v>
      </c>
      <c r="B76" s="16" t="s">
        <v>164</v>
      </c>
      <c r="C76" s="15" t="s">
        <v>165</v>
      </c>
      <c r="D76" s="31" t="s">
        <v>16</v>
      </c>
      <c r="E76" s="85"/>
      <c r="F76" s="111" t="s">
        <v>292</v>
      </c>
      <c r="G76" s="97"/>
      <c r="H76" s="97"/>
    </row>
    <row r="77" spans="1:8" ht="30" x14ac:dyDescent="0.25">
      <c r="A77" s="80" t="s">
        <v>166</v>
      </c>
      <c r="B77" s="16" t="s">
        <v>265</v>
      </c>
      <c r="C77" s="15" t="s">
        <v>266</v>
      </c>
      <c r="D77" s="31" t="s">
        <v>182</v>
      </c>
      <c r="E77" s="81">
        <v>1</v>
      </c>
      <c r="F77" s="19" t="s">
        <v>267</v>
      </c>
      <c r="G77" s="97"/>
      <c r="H77" s="97"/>
    </row>
    <row r="78" spans="1:8" ht="30" x14ac:dyDescent="0.25">
      <c r="A78" s="80" t="s">
        <v>167</v>
      </c>
      <c r="B78" s="16" t="s">
        <v>263</v>
      </c>
      <c r="C78" s="15" t="s">
        <v>168</v>
      </c>
      <c r="D78" s="31" t="s">
        <v>169</v>
      </c>
      <c r="E78" s="110"/>
      <c r="F78" s="85" t="s">
        <v>170</v>
      </c>
      <c r="G78" s="97"/>
      <c r="H78" s="97"/>
    </row>
    <row r="79" spans="1:8" ht="60" x14ac:dyDescent="0.25">
      <c r="A79" s="80" t="s">
        <v>171</v>
      </c>
      <c r="B79" s="16" t="s">
        <v>172</v>
      </c>
      <c r="C79" s="15" t="s">
        <v>173</v>
      </c>
      <c r="D79" s="31" t="s">
        <v>21</v>
      </c>
      <c r="E79" s="112"/>
      <c r="F79" s="85" t="s">
        <v>174</v>
      </c>
      <c r="G79" s="97"/>
      <c r="H79" s="97"/>
    </row>
    <row r="80" spans="1:8" ht="30" x14ac:dyDescent="0.25">
      <c r="A80" s="80" t="s">
        <v>175</v>
      </c>
      <c r="B80" s="16" t="s">
        <v>176</v>
      </c>
      <c r="C80" s="15" t="s">
        <v>177</v>
      </c>
      <c r="D80" s="31" t="s">
        <v>178</v>
      </c>
      <c r="E80" s="32">
        <v>5</v>
      </c>
      <c r="F80" s="19" t="s">
        <v>264</v>
      </c>
      <c r="G80" s="97"/>
      <c r="H80" s="97"/>
    </row>
    <row r="81" spans="1:8" ht="60" x14ac:dyDescent="0.25">
      <c r="A81" s="80" t="s">
        <v>179</v>
      </c>
      <c r="B81" s="16" t="s">
        <v>180</v>
      </c>
      <c r="C81" s="15" t="s">
        <v>181</v>
      </c>
      <c r="D81" s="31" t="s">
        <v>182</v>
      </c>
      <c r="E81" s="65">
        <v>1.0429999999999999</v>
      </c>
      <c r="F81" s="19" t="s">
        <v>183</v>
      </c>
      <c r="G81" s="97"/>
      <c r="H81" s="97"/>
    </row>
    <row r="82" spans="1:8" ht="30" x14ac:dyDescent="0.25">
      <c r="A82" s="82" t="s">
        <v>268</v>
      </c>
      <c r="B82" s="16" t="s">
        <v>184</v>
      </c>
      <c r="C82" s="15" t="s">
        <v>185</v>
      </c>
      <c r="D82" s="31" t="s">
        <v>219</v>
      </c>
      <c r="E82" s="110"/>
      <c r="F82" s="111" t="s">
        <v>291</v>
      </c>
      <c r="G82" s="97"/>
      <c r="H82" s="97"/>
    </row>
    <row r="83" spans="1:8" ht="60" x14ac:dyDescent="0.25">
      <c r="A83" s="80" t="s">
        <v>298</v>
      </c>
      <c r="B83" s="16" t="s">
        <v>240</v>
      </c>
      <c r="C83" s="15" t="s">
        <v>239</v>
      </c>
      <c r="D83" s="31" t="s">
        <v>19</v>
      </c>
      <c r="E83" s="103"/>
      <c r="F83" s="85"/>
      <c r="G83" s="97"/>
      <c r="H83" s="97"/>
    </row>
    <row r="84" spans="1:8" ht="30" customHeight="1" x14ac:dyDescent="0.25">
      <c r="A84" s="82" t="s">
        <v>299</v>
      </c>
      <c r="B84" s="19" t="s">
        <v>269</v>
      </c>
      <c r="C84" s="15" t="s">
        <v>186</v>
      </c>
      <c r="D84" s="31" t="s">
        <v>187</v>
      </c>
      <c r="E84" s="103"/>
      <c r="F84" s="85" t="s">
        <v>188</v>
      </c>
      <c r="G84" s="97"/>
      <c r="H84" s="97"/>
    </row>
    <row r="85" spans="1:8" ht="30" customHeight="1" x14ac:dyDescent="0.25">
      <c r="A85" s="80" t="s">
        <v>300</v>
      </c>
      <c r="B85" s="19" t="s">
        <v>270</v>
      </c>
      <c r="C85" s="15" t="s">
        <v>189</v>
      </c>
      <c r="D85" s="31" t="s">
        <v>187</v>
      </c>
      <c r="E85" s="103"/>
      <c r="F85" s="85" t="s">
        <v>190</v>
      </c>
      <c r="G85" s="97"/>
      <c r="H85" s="97"/>
    </row>
    <row r="86" spans="1:8" ht="45.75" customHeight="1" x14ac:dyDescent="0.25">
      <c r="A86" s="82" t="s">
        <v>301</v>
      </c>
      <c r="B86" s="19" t="s">
        <v>295</v>
      </c>
      <c r="C86" s="15" t="s">
        <v>191</v>
      </c>
      <c r="D86" s="31" t="s">
        <v>21</v>
      </c>
      <c r="E86" s="114"/>
      <c r="F86" s="85" t="s">
        <v>296</v>
      </c>
      <c r="G86" s="97"/>
      <c r="H86" s="97"/>
    </row>
    <row r="87" spans="1:8" ht="46.5" customHeight="1" x14ac:dyDescent="0.25">
      <c r="A87" s="80" t="s">
        <v>302</v>
      </c>
      <c r="B87" s="18" t="s">
        <v>192</v>
      </c>
      <c r="C87" s="15" t="s">
        <v>193</v>
      </c>
      <c r="D87" s="15" t="s">
        <v>182</v>
      </c>
      <c r="E87" s="113">
        <v>1.038</v>
      </c>
      <c r="F87" s="84" t="s">
        <v>294</v>
      </c>
      <c r="G87" s="97"/>
      <c r="H87" s="97"/>
    </row>
    <row r="88" spans="1:8" ht="15.75" customHeight="1" x14ac:dyDescent="0.25">
      <c r="A88" s="82" t="s">
        <v>303</v>
      </c>
      <c r="B88" s="18"/>
      <c r="C88" s="15" t="s">
        <v>231</v>
      </c>
      <c r="D88" s="31" t="s">
        <v>21</v>
      </c>
      <c r="E88" s="83">
        <v>0</v>
      </c>
      <c r="F88" s="84" t="s">
        <v>233</v>
      </c>
      <c r="G88" s="97"/>
      <c r="H88" s="97"/>
    </row>
    <row r="89" spans="1:8" ht="16.5" customHeight="1" x14ac:dyDescent="0.25">
      <c r="A89" s="80" t="s">
        <v>304</v>
      </c>
      <c r="B89" s="18"/>
      <c r="C89" s="15" t="s">
        <v>232</v>
      </c>
      <c r="D89" s="31" t="s">
        <v>21</v>
      </c>
      <c r="E89" s="83">
        <v>0</v>
      </c>
      <c r="F89" s="84" t="s">
        <v>234</v>
      </c>
      <c r="G89" s="97"/>
      <c r="H89" s="97"/>
    </row>
    <row r="90" spans="1:8" ht="15" customHeight="1" x14ac:dyDescent="0.25">
      <c r="A90" s="82" t="s">
        <v>305</v>
      </c>
      <c r="B90" s="18"/>
      <c r="C90" s="15" t="s">
        <v>236</v>
      </c>
      <c r="D90" s="31" t="s">
        <v>182</v>
      </c>
      <c r="E90" s="83">
        <v>1</v>
      </c>
      <c r="F90" s="84" t="s">
        <v>237</v>
      </c>
      <c r="G90" s="97"/>
      <c r="H90" s="97"/>
    </row>
    <row r="91" spans="1:8" x14ac:dyDescent="0.25">
      <c r="A91" s="80" t="s">
        <v>306</v>
      </c>
      <c r="B91" s="18"/>
      <c r="C91" s="15" t="s">
        <v>194</v>
      </c>
      <c r="D91" s="15"/>
      <c r="E91" s="90" t="e">
        <f>(E72+E88)*E90-E89-E86</f>
        <v>#DIV/0!</v>
      </c>
      <c r="F91" s="19" t="s">
        <v>235</v>
      </c>
      <c r="G91" s="97"/>
      <c r="H91" s="97"/>
    </row>
    <row r="92" spans="1:8" x14ac:dyDescent="0.25">
      <c r="A92" s="93"/>
      <c r="B92" s="93"/>
      <c r="C92" s="93"/>
      <c r="D92" s="93"/>
      <c r="E92" s="95"/>
      <c r="F92" s="96"/>
      <c r="G92" s="97"/>
      <c r="H92" s="97"/>
    </row>
    <row r="93" spans="1:8" x14ac:dyDescent="0.25">
      <c r="A93" s="93"/>
      <c r="B93" s="93"/>
      <c r="C93" s="98"/>
      <c r="D93" s="98"/>
      <c r="E93" s="96"/>
      <c r="F93" s="99"/>
      <c r="G93" s="97"/>
      <c r="H93" s="97"/>
    </row>
    <row r="94" spans="1:8" x14ac:dyDescent="0.25">
      <c r="A94" s="100"/>
      <c r="B94" s="100"/>
      <c r="C94" s="100"/>
      <c r="D94" s="100"/>
      <c r="E94" s="101"/>
      <c r="F94" s="102"/>
      <c r="G94" s="100"/>
      <c r="H94" s="100"/>
    </row>
  </sheetData>
  <mergeCells count="11">
    <mergeCell ref="B67:F67"/>
    <mergeCell ref="A70:F70"/>
    <mergeCell ref="B19:F19"/>
    <mergeCell ref="A1:F1"/>
    <mergeCell ref="B4:F4"/>
    <mergeCell ref="B16:F16"/>
    <mergeCell ref="B24:F24"/>
    <mergeCell ref="B33:F33"/>
    <mergeCell ref="B36:F36"/>
    <mergeCell ref="B40:F40"/>
    <mergeCell ref="B60:F60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6"/>
  <sheetViews>
    <sheetView workbookViewId="0">
      <selection sqref="A1:A1048576"/>
    </sheetView>
  </sheetViews>
  <sheetFormatPr defaultRowHeight="15" x14ac:dyDescent="0.25"/>
  <cols>
    <col min="1" max="1" width="38.7109375" customWidth="1"/>
    <col min="2" max="2" width="15.5703125" customWidth="1"/>
    <col min="3" max="3" width="14.5703125" customWidth="1"/>
    <col min="4" max="4" width="16" customWidth="1"/>
  </cols>
  <sheetData>
    <row r="1" spans="1:4" x14ac:dyDescent="0.25">
      <c r="A1" s="3" t="s">
        <v>209</v>
      </c>
      <c r="B1" s="11" t="s">
        <v>210</v>
      </c>
      <c r="C1" s="11" t="s">
        <v>211</v>
      </c>
      <c r="D1" s="11" t="s">
        <v>212</v>
      </c>
    </row>
    <row r="2" spans="1:4" ht="135" x14ac:dyDescent="0.25">
      <c r="A2" s="4" t="s">
        <v>213</v>
      </c>
      <c r="B2" s="3">
        <v>1</v>
      </c>
      <c r="C2" s="3">
        <v>0.9</v>
      </c>
      <c r="D2" s="3">
        <v>0.9</v>
      </c>
    </row>
    <row r="3" spans="1:4" ht="60" x14ac:dyDescent="0.25">
      <c r="A3" s="4" t="s">
        <v>214</v>
      </c>
      <c r="B3" s="3">
        <v>0.9</v>
      </c>
      <c r="C3" s="3">
        <v>1.1000000000000001</v>
      </c>
      <c r="D3" s="3">
        <v>1.1000000000000001</v>
      </c>
    </row>
    <row r="4" spans="1:4" ht="195" x14ac:dyDescent="0.25">
      <c r="A4" s="4" t="s">
        <v>312</v>
      </c>
      <c r="B4" s="119">
        <v>0.9</v>
      </c>
      <c r="C4" s="119">
        <v>1.2</v>
      </c>
      <c r="D4" s="119">
        <v>1.25</v>
      </c>
    </row>
    <row r="5" spans="1:4" ht="30" x14ac:dyDescent="0.25">
      <c r="A5" s="4" t="s">
        <v>215</v>
      </c>
      <c r="B5" s="3">
        <v>0.8</v>
      </c>
      <c r="C5" s="3">
        <v>1.3</v>
      </c>
      <c r="D5" s="3">
        <v>1.4</v>
      </c>
    </row>
    <row r="6" spans="1:4" x14ac:dyDescent="0.25">
      <c r="A6" s="4" t="s">
        <v>216</v>
      </c>
      <c r="B6" s="3">
        <v>1</v>
      </c>
      <c r="C6" s="3">
        <v>1</v>
      </c>
      <c r="D6" s="3">
        <v>1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"/>
  <sheetViews>
    <sheetView workbookViewId="0">
      <selection activeCell="G14" sqref="G14"/>
    </sheetView>
  </sheetViews>
  <sheetFormatPr defaultRowHeight="15" x14ac:dyDescent="0.25"/>
  <cols>
    <col min="4" max="4" width="23.140625" customWidth="1"/>
    <col min="5" max="5" width="13.140625" customWidth="1"/>
  </cols>
  <sheetData>
    <row r="1" spans="1:5" ht="38.25" customHeight="1" x14ac:dyDescent="0.3">
      <c r="A1" s="179" t="s">
        <v>369</v>
      </c>
      <c r="B1" s="179"/>
      <c r="C1" s="179"/>
      <c r="D1" s="179"/>
      <c r="E1" s="140">
        <v>104.1</v>
      </c>
    </row>
    <row r="2" spans="1:5" ht="18.75" x14ac:dyDescent="0.3">
      <c r="A2" s="180" t="s">
        <v>368</v>
      </c>
      <c r="B2" s="180"/>
      <c r="C2" s="180"/>
      <c r="D2" s="180"/>
      <c r="E2" s="140">
        <v>103.9</v>
      </c>
    </row>
    <row r="3" spans="1:5" ht="18.75" x14ac:dyDescent="0.3">
      <c r="A3" s="180" t="s">
        <v>38</v>
      </c>
      <c r="B3" s="180"/>
      <c r="C3" s="180"/>
      <c r="D3" s="180"/>
      <c r="E3" s="140">
        <v>111.94</v>
      </c>
    </row>
  </sheetData>
  <mergeCells count="3">
    <mergeCell ref="A1:D1"/>
    <mergeCell ref="A2:D2"/>
    <mergeCell ref="A3:D3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C9819-74C8-4951-AEE6-D7F1F102D7D1}">
  <dimension ref="A1:B10"/>
  <sheetViews>
    <sheetView workbookViewId="0">
      <selection activeCell="C23" sqref="C23"/>
    </sheetView>
  </sheetViews>
  <sheetFormatPr defaultRowHeight="15" x14ac:dyDescent="0.25"/>
  <cols>
    <col min="1" max="1" width="48.140625" customWidth="1"/>
    <col min="2" max="2" width="49.85546875" customWidth="1"/>
  </cols>
  <sheetData>
    <row r="1" spans="1:2" ht="90" customHeight="1" thickBot="1" x14ac:dyDescent="0.3">
      <c r="A1" s="8" t="s">
        <v>221</v>
      </c>
      <c r="B1" s="9" t="s">
        <v>143</v>
      </c>
    </row>
    <row r="2" spans="1:2" ht="15.75" thickBot="1" x14ac:dyDescent="0.3">
      <c r="A2" s="120" t="s">
        <v>222</v>
      </c>
      <c r="B2" s="121">
        <v>0.755</v>
      </c>
    </row>
    <row r="3" spans="1:2" ht="24.75" customHeight="1" thickBot="1" x14ac:dyDescent="0.3">
      <c r="A3" s="10" t="s">
        <v>223</v>
      </c>
      <c r="B3" s="2">
        <v>0.745</v>
      </c>
    </row>
    <row r="4" spans="1:2" ht="20.25" customHeight="1" thickBot="1" x14ac:dyDescent="0.3">
      <c r="A4" s="10" t="s">
        <v>224</v>
      </c>
      <c r="B4" s="2">
        <v>0.71</v>
      </c>
    </row>
    <row r="5" spans="1:2" ht="21" customHeight="1" thickBot="1" x14ac:dyDescent="0.3">
      <c r="A5" s="10" t="s">
        <v>225</v>
      </c>
      <c r="B5" s="2">
        <v>0.63500000000000001</v>
      </c>
    </row>
    <row r="6" spans="1:2" ht="18" customHeight="1" thickBot="1" x14ac:dyDescent="0.3">
      <c r="A6" s="10" t="s">
        <v>226</v>
      </c>
      <c r="B6" s="2">
        <v>0.57999999999999996</v>
      </c>
    </row>
    <row r="7" spans="1:2" ht="13.5" customHeight="1" thickBot="1" x14ac:dyDescent="0.3">
      <c r="A7" s="10" t="s">
        <v>227</v>
      </c>
      <c r="B7" s="2">
        <v>0.51500000000000001</v>
      </c>
    </row>
    <row r="8" spans="1:2" ht="16.5" customHeight="1" thickBot="1" x14ac:dyDescent="0.3">
      <c r="A8" s="10" t="s">
        <v>228</v>
      </c>
      <c r="B8" s="2">
        <v>0.46</v>
      </c>
    </row>
    <row r="9" spans="1:2" ht="23.25" customHeight="1" thickBot="1" x14ac:dyDescent="0.3">
      <c r="A9" s="10" t="s">
        <v>229</v>
      </c>
      <c r="B9" s="2">
        <v>0.42</v>
      </c>
    </row>
    <row r="10" spans="1:2" ht="18" customHeight="1" thickBot="1" x14ac:dyDescent="0.3">
      <c r="A10" s="10" t="s">
        <v>230</v>
      </c>
      <c r="B10" s="2">
        <v>0.375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22"/>
  <sheetViews>
    <sheetView tabSelected="1" workbookViewId="0">
      <selection activeCell="E23" sqref="E23"/>
    </sheetView>
  </sheetViews>
  <sheetFormatPr defaultRowHeight="15" x14ac:dyDescent="0.25"/>
  <cols>
    <col min="1" max="1" width="3.42578125" customWidth="1"/>
    <col min="2" max="2" width="6.85546875" customWidth="1"/>
    <col min="3" max="3" width="20.7109375" customWidth="1"/>
    <col min="4" max="4" width="6.85546875" customWidth="1"/>
    <col min="5" max="5" width="17.140625" customWidth="1"/>
    <col min="6" max="6" width="7.42578125" customWidth="1"/>
    <col min="7" max="7" width="8.5703125" customWidth="1"/>
    <col min="8" max="8" width="7.28515625" customWidth="1"/>
    <col min="9" max="10" width="8.140625" customWidth="1"/>
    <col min="12" max="12" width="10.42578125" bestFit="1" customWidth="1"/>
  </cols>
  <sheetData>
    <row r="1" spans="1:14" x14ac:dyDescent="0.25">
      <c r="A1" s="172" t="s">
        <v>395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</row>
    <row r="3" spans="1:14" ht="39" customHeight="1" x14ac:dyDescent="0.25">
      <c r="A3" s="173" t="s">
        <v>329</v>
      </c>
      <c r="B3" s="173" t="s">
        <v>351</v>
      </c>
      <c r="C3" s="173" t="s">
        <v>330</v>
      </c>
      <c r="D3" s="173" t="s">
        <v>347</v>
      </c>
      <c r="E3" s="173" t="s">
        <v>343</v>
      </c>
      <c r="F3" s="173" t="s">
        <v>344</v>
      </c>
      <c r="G3" s="175" t="s">
        <v>345</v>
      </c>
      <c r="H3" s="173" t="s">
        <v>346</v>
      </c>
      <c r="I3" s="173" t="s">
        <v>374</v>
      </c>
      <c r="J3" s="173" t="s">
        <v>341</v>
      </c>
      <c r="K3" s="173" t="s">
        <v>373</v>
      </c>
      <c r="L3" s="173" t="s">
        <v>338</v>
      </c>
    </row>
    <row r="4" spans="1:14" x14ac:dyDescent="0.25">
      <c r="A4" s="174"/>
      <c r="B4" s="174"/>
      <c r="C4" s="174"/>
      <c r="D4" s="174"/>
      <c r="E4" s="174"/>
      <c r="F4" s="174"/>
      <c r="G4" s="176"/>
      <c r="H4" s="174"/>
      <c r="I4" s="174"/>
      <c r="J4" s="174"/>
      <c r="K4" s="174"/>
      <c r="L4" s="174"/>
    </row>
    <row r="5" spans="1:14" x14ac:dyDescent="0.25">
      <c r="A5" s="130">
        <v>1</v>
      </c>
      <c r="B5" s="130">
        <v>2</v>
      </c>
      <c r="C5" s="130">
        <v>3</v>
      </c>
      <c r="D5" s="130">
        <v>4</v>
      </c>
      <c r="E5" s="130">
        <v>5</v>
      </c>
      <c r="F5" s="130">
        <v>6</v>
      </c>
      <c r="G5" s="130">
        <v>7</v>
      </c>
      <c r="H5" s="130">
        <v>8</v>
      </c>
      <c r="I5" s="130">
        <v>9</v>
      </c>
      <c r="J5" s="130">
        <v>10</v>
      </c>
      <c r="K5" s="130">
        <v>11</v>
      </c>
      <c r="L5" s="130">
        <v>12</v>
      </c>
    </row>
    <row r="6" spans="1:14" ht="25.5" x14ac:dyDescent="0.25">
      <c r="A6" s="130">
        <v>1</v>
      </c>
      <c r="B6" s="130">
        <v>121</v>
      </c>
      <c r="C6" s="130" t="s">
        <v>331</v>
      </c>
      <c r="D6" s="130" t="s">
        <v>348</v>
      </c>
      <c r="E6" s="139">
        <f>'121'!F92</f>
        <v>416799.5951941589</v>
      </c>
      <c r="F6" s="131" t="s">
        <v>339</v>
      </c>
      <c r="G6" s="130">
        <v>14.2</v>
      </c>
      <c r="H6" s="130" t="s">
        <v>342</v>
      </c>
      <c r="I6" s="130">
        <v>348</v>
      </c>
      <c r="J6" s="130">
        <v>16</v>
      </c>
      <c r="K6" s="130">
        <v>20.3</v>
      </c>
      <c r="L6" s="148">
        <f>I6*K6</f>
        <v>7064.4000000000005</v>
      </c>
    </row>
    <row r="7" spans="1:14" ht="25.5" x14ac:dyDescent="0.25">
      <c r="A7" s="130">
        <v>2</v>
      </c>
      <c r="B7" s="130">
        <v>122</v>
      </c>
      <c r="C7" s="130" t="s">
        <v>332</v>
      </c>
      <c r="D7" s="130" t="s">
        <v>348</v>
      </c>
      <c r="E7" s="131">
        <f>'122'!F92</f>
        <v>702720</v>
      </c>
      <c r="F7" s="131" t="s">
        <v>339</v>
      </c>
      <c r="G7" s="130">
        <v>14.2</v>
      </c>
      <c r="H7" s="130" t="s">
        <v>342</v>
      </c>
      <c r="I7" s="130">
        <v>240</v>
      </c>
      <c r="J7" s="130">
        <v>16</v>
      </c>
      <c r="K7" s="130">
        <v>48.8</v>
      </c>
      <c r="L7" s="148">
        <f t="shared" ref="L7:L11" si="0">I7*K7</f>
        <v>11712</v>
      </c>
    </row>
    <row r="8" spans="1:14" ht="25.5" x14ac:dyDescent="0.25">
      <c r="A8" s="130">
        <v>3</v>
      </c>
      <c r="B8" s="130">
        <v>500</v>
      </c>
      <c r="C8" s="130" t="s">
        <v>333</v>
      </c>
      <c r="D8" s="130" t="s">
        <v>349</v>
      </c>
      <c r="E8" s="131">
        <f>'500'!F93</f>
        <v>1151206.0030892447</v>
      </c>
      <c r="F8" s="131" t="s">
        <v>339</v>
      </c>
      <c r="G8" s="130">
        <v>26.2</v>
      </c>
      <c r="H8" s="130" t="s">
        <v>340</v>
      </c>
      <c r="I8" s="130">
        <v>238</v>
      </c>
      <c r="J8" s="130">
        <v>29</v>
      </c>
      <c r="K8" s="130">
        <v>69.099999999999994</v>
      </c>
      <c r="L8" s="148">
        <f t="shared" si="0"/>
        <v>16445.8</v>
      </c>
    </row>
    <row r="9" spans="1:14" ht="25.5" x14ac:dyDescent="0.25">
      <c r="A9" s="130">
        <v>4</v>
      </c>
      <c r="B9" s="130">
        <v>501</v>
      </c>
      <c r="C9" s="130" t="s">
        <v>334</v>
      </c>
      <c r="D9" s="130" t="s">
        <v>350</v>
      </c>
      <c r="E9" s="131">
        <f>'501'!F93</f>
        <v>996556.00396691135</v>
      </c>
      <c r="F9" s="131" t="s">
        <v>339</v>
      </c>
      <c r="G9" s="130">
        <v>26.2</v>
      </c>
      <c r="H9" s="130" t="s">
        <v>340</v>
      </c>
      <c r="I9" s="130">
        <v>116</v>
      </c>
      <c r="J9" s="130">
        <v>19</v>
      </c>
      <c r="K9" s="130">
        <v>121</v>
      </c>
      <c r="L9" s="148">
        <f t="shared" si="0"/>
        <v>14036</v>
      </c>
    </row>
    <row r="10" spans="1:14" ht="25.5" x14ac:dyDescent="0.25">
      <c r="A10" s="130">
        <v>5</v>
      </c>
      <c r="B10" s="130">
        <v>502</v>
      </c>
      <c r="C10" s="130" t="s">
        <v>335</v>
      </c>
      <c r="D10" s="130" t="s">
        <v>350</v>
      </c>
      <c r="E10" s="139">
        <f>'502'!F92</f>
        <v>939510.00402902102</v>
      </c>
      <c r="F10" s="131" t="s">
        <v>339</v>
      </c>
      <c r="G10" s="130">
        <v>26.2</v>
      </c>
      <c r="H10" s="130" t="s">
        <v>340</v>
      </c>
      <c r="I10" s="130">
        <v>132</v>
      </c>
      <c r="J10" s="130">
        <v>19</v>
      </c>
      <c r="K10" s="130">
        <v>94.9</v>
      </c>
      <c r="L10" s="148">
        <f t="shared" si="0"/>
        <v>12526.800000000001</v>
      </c>
    </row>
    <row r="11" spans="1:14" ht="25.5" x14ac:dyDescent="0.25">
      <c r="A11" s="130">
        <v>6</v>
      </c>
      <c r="B11" s="130">
        <v>504</v>
      </c>
      <c r="C11" s="130" t="s">
        <v>336</v>
      </c>
      <c r="D11" s="130" t="s">
        <v>350</v>
      </c>
      <c r="E11" s="139">
        <f>'504'!F92</f>
        <v>1763215.9980149169</v>
      </c>
      <c r="F11" s="134" t="s">
        <v>339</v>
      </c>
      <c r="G11" s="130">
        <v>26.2</v>
      </c>
      <c r="H11" s="130" t="s">
        <v>340</v>
      </c>
      <c r="I11" s="130">
        <v>182</v>
      </c>
      <c r="J11" s="130">
        <v>30</v>
      </c>
      <c r="K11" s="130">
        <v>138.4</v>
      </c>
      <c r="L11" s="148">
        <f t="shared" si="0"/>
        <v>25188.799999999999</v>
      </c>
    </row>
    <row r="12" spans="1:14" x14ac:dyDescent="0.25">
      <c r="A12" s="135"/>
      <c r="B12" s="135"/>
      <c r="C12" s="136" t="s">
        <v>337</v>
      </c>
      <c r="D12" s="136"/>
      <c r="E12" s="142">
        <f>E6+E7+E8+E9+E10+E11</f>
        <v>5970007.6042942526</v>
      </c>
      <c r="F12" s="137"/>
      <c r="G12" s="138"/>
      <c r="H12" s="138"/>
      <c r="I12" s="138"/>
      <c r="J12" s="138"/>
      <c r="K12" s="129"/>
      <c r="L12" s="150">
        <f>L6+L7+L8+L9+L10+L11</f>
        <v>86973.8</v>
      </c>
      <c r="N12" s="149"/>
    </row>
    <row r="13" spans="1:14" x14ac:dyDescent="0.25">
      <c r="A13" s="125"/>
      <c r="B13" s="124"/>
      <c r="C13" s="125"/>
      <c r="D13" s="125"/>
      <c r="E13" s="125"/>
      <c r="F13" s="125"/>
      <c r="G13" s="125"/>
      <c r="H13" s="125"/>
      <c r="I13" s="125"/>
      <c r="J13" s="125"/>
      <c r="K13" s="125"/>
      <c r="L13" s="125"/>
    </row>
    <row r="14" spans="1:14" x14ac:dyDescent="0.25">
      <c r="A14" s="125"/>
      <c r="B14" s="132"/>
      <c r="C14" s="133"/>
      <c r="D14" s="125"/>
      <c r="E14" s="125"/>
      <c r="F14" s="125"/>
      <c r="G14" s="125"/>
      <c r="H14" s="125"/>
      <c r="I14" s="125"/>
      <c r="J14" s="125"/>
      <c r="K14" s="125"/>
      <c r="L14" s="125"/>
    </row>
    <row r="15" spans="1:14" x14ac:dyDescent="0.25">
      <c r="A15" s="125"/>
      <c r="B15" s="125"/>
      <c r="C15" s="125"/>
      <c r="D15" s="143"/>
      <c r="E15" s="145"/>
      <c r="F15" s="125"/>
      <c r="G15" s="125"/>
      <c r="H15" s="125"/>
      <c r="I15" s="125"/>
      <c r="J15" s="125"/>
      <c r="K15" s="125"/>
      <c r="L15" s="125"/>
    </row>
    <row r="16" spans="1:14" x14ac:dyDescent="0.25">
      <c r="A16" s="125"/>
      <c r="B16" s="125"/>
      <c r="C16" s="125"/>
      <c r="D16" s="143"/>
      <c r="E16" s="144"/>
      <c r="F16" s="125"/>
      <c r="G16" s="125"/>
      <c r="H16" s="125"/>
      <c r="I16" s="125"/>
      <c r="J16" s="125"/>
      <c r="K16" s="125"/>
      <c r="L16" s="125"/>
    </row>
    <row r="17" spans="1:16" x14ac:dyDescent="0.25">
      <c r="A17" s="125"/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P17" t="s">
        <v>354</v>
      </c>
    </row>
    <row r="18" spans="1:16" x14ac:dyDescent="0.25">
      <c r="A18" s="125"/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</row>
    <row r="19" spans="1:16" x14ac:dyDescent="0.25">
      <c r="A19" s="125"/>
      <c r="B19" s="125"/>
      <c r="C19" s="146" t="s">
        <v>396</v>
      </c>
      <c r="D19" s="125"/>
      <c r="E19" s="125"/>
      <c r="F19" s="125"/>
      <c r="G19" s="125"/>
      <c r="H19" s="125"/>
      <c r="I19" s="125"/>
      <c r="J19" s="125"/>
      <c r="K19" s="125"/>
      <c r="L19" s="125"/>
    </row>
    <row r="20" spans="1:16" x14ac:dyDescent="0.25">
      <c r="A20" s="125"/>
      <c r="B20" s="125"/>
      <c r="C20" s="147" t="s">
        <v>377</v>
      </c>
      <c r="D20" s="125"/>
      <c r="E20" s="125"/>
      <c r="F20" s="125"/>
    </row>
    <row r="21" spans="1:16" x14ac:dyDescent="0.25">
      <c r="A21" s="125"/>
      <c r="B21" s="125"/>
      <c r="C21" s="125"/>
      <c r="D21" s="125"/>
      <c r="E21" s="125"/>
      <c r="F21" s="125"/>
    </row>
    <row r="22" spans="1:16" x14ac:dyDescent="0.25">
      <c r="A22" s="125"/>
      <c r="B22" s="125"/>
      <c r="C22" s="125"/>
      <c r="D22" s="125"/>
      <c r="E22" s="125"/>
      <c r="F22" s="125"/>
    </row>
  </sheetData>
  <mergeCells count="13">
    <mergeCell ref="A1:L1"/>
    <mergeCell ref="L3:L4"/>
    <mergeCell ref="D3:D4"/>
    <mergeCell ref="A3:A4"/>
    <mergeCell ref="B3:B4"/>
    <mergeCell ref="C3:C4"/>
    <mergeCell ref="E3:E4"/>
    <mergeCell ref="F3:F4"/>
    <mergeCell ref="G3:G4"/>
    <mergeCell ref="H3:H4"/>
    <mergeCell ref="J3:J4"/>
    <mergeCell ref="I3:I4"/>
    <mergeCell ref="K3:K4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95"/>
  <sheetViews>
    <sheetView topLeftCell="A61" zoomScale="80" zoomScaleNormal="80" workbookViewId="0">
      <selection activeCell="F96" sqref="F96"/>
    </sheetView>
  </sheetViews>
  <sheetFormatPr defaultRowHeight="15" x14ac:dyDescent="0.25"/>
  <cols>
    <col min="2" max="2" width="11.42578125" customWidth="1"/>
    <col min="3" max="3" width="74.85546875" customWidth="1"/>
    <col min="4" max="4" width="12.5703125" customWidth="1"/>
    <col min="6" max="6" width="16.42578125" customWidth="1"/>
    <col min="7" max="7" width="63.42578125" customWidth="1"/>
    <col min="8" max="8" width="52.140625" customWidth="1"/>
  </cols>
  <sheetData>
    <row r="1" spans="2:9" ht="19.5" x14ac:dyDescent="0.3">
      <c r="B1" s="158" t="s">
        <v>0</v>
      </c>
      <c r="C1" s="158"/>
      <c r="D1" s="158"/>
      <c r="E1" s="158"/>
      <c r="F1" s="158"/>
      <c r="G1" s="158"/>
      <c r="H1" s="1"/>
      <c r="I1" s="1"/>
    </row>
    <row r="2" spans="2:9" ht="19.5" x14ac:dyDescent="0.3">
      <c r="B2" s="118"/>
      <c r="C2" s="158" t="s">
        <v>310</v>
      </c>
      <c r="D2" s="158"/>
      <c r="E2" s="158"/>
      <c r="F2" s="158"/>
      <c r="G2" s="158"/>
      <c r="H2" s="1"/>
      <c r="I2" s="1"/>
    </row>
    <row r="3" spans="2:9" ht="15.75" thickBot="1" x14ac:dyDescent="0.3">
      <c r="B3" s="1"/>
      <c r="C3" s="1"/>
      <c r="D3" s="1"/>
      <c r="E3" s="1"/>
      <c r="F3" s="1"/>
      <c r="G3" s="1"/>
      <c r="H3" s="1"/>
      <c r="I3" s="1"/>
    </row>
    <row r="4" spans="2:9" ht="30.75" thickBot="1" x14ac:dyDescent="0.3">
      <c r="B4" s="13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7" t="s">
        <v>6</v>
      </c>
      <c r="H4" s="94"/>
      <c r="I4" s="94"/>
    </row>
    <row r="5" spans="2:9" ht="17.25" thickBot="1" x14ac:dyDescent="0.3">
      <c r="B5" s="24" t="s">
        <v>7</v>
      </c>
      <c r="C5" s="159" t="s">
        <v>275</v>
      </c>
      <c r="D5" s="159"/>
      <c r="E5" s="159"/>
      <c r="F5" s="159"/>
      <c r="G5" s="160"/>
      <c r="H5" s="94"/>
      <c r="I5" s="94"/>
    </row>
    <row r="6" spans="2:9" ht="17.25" x14ac:dyDescent="0.25">
      <c r="B6" s="25">
        <v>1</v>
      </c>
      <c r="C6" s="26" t="s">
        <v>9</v>
      </c>
      <c r="D6" s="27" t="s">
        <v>10</v>
      </c>
      <c r="E6" s="28" t="s">
        <v>11</v>
      </c>
      <c r="F6" s="92">
        <f>((F7*F8)/F16)*F12*F13*(F14/F15)</f>
        <v>6.8339842352300142</v>
      </c>
      <c r="G6" s="29" t="s">
        <v>238</v>
      </c>
      <c r="H6" s="94"/>
      <c r="I6" s="94"/>
    </row>
    <row r="7" spans="2:9" x14ac:dyDescent="0.25">
      <c r="B7" s="30" t="s">
        <v>13</v>
      </c>
      <c r="C7" s="16" t="s">
        <v>14</v>
      </c>
      <c r="D7" s="15">
        <v>12</v>
      </c>
      <c r="E7" s="31" t="s">
        <v>15</v>
      </c>
      <c r="F7" s="32">
        <v>7</v>
      </c>
      <c r="G7" s="33"/>
      <c r="H7" s="94"/>
      <c r="I7" s="94"/>
    </row>
    <row r="8" spans="2:9" x14ac:dyDescent="0.25">
      <c r="B8" s="34" t="s">
        <v>20</v>
      </c>
      <c r="C8" s="16" t="s">
        <v>274</v>
      </c>
      <c r="D8" s="15" t="s">
        <v>206</v>
      </c>
      <c r="E8" s="31" t="s">
        <v>21</v>
      </c>
      <c r="F8" s="17">
        <f>F9*F10*F11</f>
        <v>79108.5</v>
      </c>
      <c r="G8" s="33" t="s">
        <v>286</v>
      </c>
      <c r="H8" s="94"/>
      <c r="I8" s="94"/>
    </row>
    <row r="9" spans="2:9" ht="30" x14ac:dyDescent="0.25">
      <c r="B9" s="35" t="s">
        <v>22</v>
      </c>
      <c r="C9" s="16" t="s">
        <v>23</v>
      </c>
      <c r="D9" s="15" t="s">
        <v>24</v>
      </c>
      <c r="E9" s="31" t="s">
        <v>21</v>
      </c>
      <c r="F9" s="87">
        <v>68790</v>
      </c>
      <c r="G9" s="88" t="s">
        <v>397</v>
      </c>
      <c r="H9" s="94"/>
      <c r="I9" s="94"/>
    </row>
    <row r="10" spans="2:9" ht="29.45" customHeight="1" x14ac:dyDescent="0.25">
      <c r="B10" s="30" t="s">
        <v>25</v>
      </c>
      <c r="C10" s="37" t="s">
        <v>26</v>
      </c>
      <c r="D10" s="38" t="s">
        <v>27</v>
      </c>
      <c r="E10" s="31" t="s">
        <v>12</v>
      </c>
      <c r="F10" s="39">
        <v>1.1499999999999999</v>
      </c>
      <c r="G10" s="33" t="s">
        <v>271</v>
      </c>
      <c r="H10" s="94"/>
      <c r="I10" s="94"/>
    </row>
    <row r="11" spans="2:9" ht="30.95" customHeight="1" x14ac:dyDescent="0.25">
      <c r="B11" s="30" t="s">
        <v>28</v>
      </c>
      <c r="C11" s="37" t="s">
        <v>29</v>
      </c>
      <c r="D11" s="38" t="s">
        <v>30</v>
      </c>
      <c r="E11" s="31" t="s">
        <v>12</v>
      </c>
      <c r="F11" s="39">
        <v>1</v>
      </c>
      <c r="G11" s="33" t="s">
        <v>31</v>
      </c>
      <c r="H11" s="94"/>
      <c r="I11" s="94"/>
    </row>
    <row r="12" spans="2:9" ht="18" customHeight="1" x14ac:dyDescent="0.25">
      <c r="B12" s="30" t="s">
        <v>32</v>
      </c>
      <c r="C12" s="16" t="s">
        <v>33</v>
      </c>
      <c r="D12" s="15" t="s">
        <v>34</v>
      </c>
      <c r="E12" s="31" t="s">
        <v>8</v>
      </c>
      <c r="F12" s="122">
        <v>139.19999999999999</v>
      </c>
      <c r="G12" s="88" t="s">
        <v>388</v>
      </c>
      <c r="H12" s="94"/>
      <c r="I12" s="94"/>
    </row>
    <row r="13" spans="2:9" ht="59.25" customHeight="1" thickBot="1" x14ac:dyDescent="0.3">
      <c r="B13" s="30" t="s">
        <v>35</v>
      </c>
      <c r="C13" s="40" t="s">
        <v>272</v>
      </c>
      <c r="D13" s="15" t="s">
        <v>36</v>
      </c>
      <c r="E13" s="31" t="s">
        <v>182</v>
      </c>
      <c r="F13" s="39">
        <v>1.06</v>
      </c>
      <c r="G13" s="45" t="s">
        <v>355</v>
      </c>
      <c r="H13" s="94"/>
      <c r="I13" s="94"/>
    </row>
    <row r="14" spans="2:9" ht="17.25" x14ac:dyDescent="0.25">
      <c r="B14" s="30" t="s">
        <v>37</v>
      </c>
      <c r="C14" s="16" t="s">
        <v>38</v>
      </c>
      <c r="D14" s="15" t="s">
        <v>39</v>
      </c>
      <c r="E14" s="15" t="s">
        <v>182</v>
      </c>
      <c r="F14" s="104">
        <v>1.0469999999999999</v>
      </c>
      <c r="G14" s="33" t="s">
        <v>370</v>
      </c>
      <c r="H14" s="94"/>
      <c r="I14" s="94"/>
    </row>
    <row r="15" spans="2:9" x14ac:dyDescent="0.25">
      <c r="B15" s="34" t="s">
        <v>41</v>
      </c>
      <c r="C15" s="16" t="s">
        <v>18</v>
      </c>
      <c r="D15" s="15" t="s">
        <v>17</v>
      </c>
      <c r="E15" s="31" t="s">
        <v>19</v>
      </c>
      <c r="F15" s="122">
        <v>7064.4</v>
      </c>
      <c r="G15" s="88" t="s">
        <v>388</v>
      </c>
      <c r="H15" s="94"/>
      <c r="I15" s="94"/>
    </row>
    <row r="16" spans="2:9" ht="26.25" thickBot="1" x14ac:dyDescent="0.3">
      <c r="B16" s="41" t="s">
        <v>42</v>
      </c>
      <c r="C16" s="42" t="s">
        <v>241</v>
      </c>
      <c r="D16" s="43" t="s">
        <v>207</v>
      </c>
      <c r="E16" s="52" t="s">
        <v>8</v>
      </c>
      <c r="F16" s="44">
        <v>1772</v>
      </c>
      <c r="G16" s="45" t="s">
        <v>355</v>
      </c>
      <c r="H16" s="94"/>
      <c r="I16" s="94"/>
    </row>
    <row r="17" spans="2:9" ht="17.25" thickBot="1" x14ac:dyDescent="0.3">
      <c r="B17" s="46" t="s">
        <v>45</v>
      </c>
      <c r="C17" s="161" t="s">
        <v>276</v>
      </c>
      <c r="D17" s="162"/>
      <c r="E17" s="162"/>
      <c r="F17" s="162"/>
      <c r="G17" s="163"/>
      <c r="H17" s="94"/>
      <c r="I17" s="94"/>
    </row>
    <row r="18" spans="2:9" ht="30.75" customHeight="1" x14ac:dyDescent="0.25">
      <c r="B18" s="25">
        <v>2</v>
      </c>
      <c r="C18" s="47" t="s">
        <v>46</v>
      </c>
      <c r="D18" s="27" t="s">
        <v>208</v>
      </c>
      <c r="E18" s="28" t="s">
        <v>11</v>
      </c>
      <c r="F18" s="115">
        <f>F6*F19</f>
        <v>0</v>
      </c>
      <c r="G18" s="116" t="s">
        <v>307</v>
      </c>
      <c r="H18" s="177" t="s">
        <v>309</v>
      </c>
      <c r="I18" s="94"/>
    </row>
    <row r="19" spans="2:9" ht="94.5" customHeight="1" thickBot="1" x14ac:dyDescent="0.3">
      <c r="B19" s="48" t="s">
        <v>308</v>
      </c>
      <c r="C19" s="16" t="s">
        <v>273</v>
      </c>
      <c r="D19" s="15" t="s">
        <v>243</v>
      </c>
      <c r="E19" s="31" t="s">
        <v>182</v>
      </c>
      <c r="F19" s="83">
        <v>0</v>
      </c>
      <c r="G19" s="88" t="s">
        <v>242</v>
      </c>
      <c r="H19" s="177"/>
      <c r="I19" s="94"/>
    </row>
    <row r="20" spans="2:9" ht="16.5" x14ac:dyDescent="0.25">
      <c r="B20" s="49" t="s">
        <v>48</v>
      </c>
      <c r="C20" s="155" t="s">
        <v>277</v>
      </c>
      <c r="D20" s="156"/>
      <c r="E20" s="156"/>
      <c r="F20" s="156"/>
      <c r="G20" s="157"/>
      <c r="H20" s="94"/>
      <c r="I20" s="94"/>
    </row>
    <row r="21" spans="2:9" x14ac:dyDescent="0.25">
      <c r="B21" s="18">
        <v>3</v>
      </c>
      <c r="C21" s="16" t="s">
        <v>49</v>
      </c>
      <c r="D21" s="15" t="s">
        <v>50</v>
      </c>
      <c r="E21" s="31" t="s">
        <v>11</v>
      </c>
      <c r="F21" s="50">
        <f>SUM(F22+F23)*(F24/100)</f>
        <v>2.0638632390394642</v>
      </c>
      <c r="G21" s="19" t="s">
        <v>244</v>
      </c>
      <c r="H21" s="94"/>
      <c r="I21" s="94"/>
    </row>
    <row r="22" spans="2:9" ht="17.25" x14ac:dyDescent="0.25">
      <c r="B22" s="18" t="s">
        <v>51</v>
      </c>
      <c r="C22" s="16" t="s">
        <v>52</v>
      </c>
      <c r="D22" s="15" t="s">
        <v>10</v>
      </c>
      <c r="E22" s="31" t="s">
        <v>11</v>
      </c>
      <c r="F22" s="109">
        <f>SUM(F6)</f>
        <v>6.8339842352300142</v>
      </c>
      <c r="G22" s="51"/>
      <c r="H22" s="94"/>
      <c r="I22" s="94"/>
    </row>
    <row r="23" spans="2:9" ht="17.45" customHeight="1" x14ac:dyDescent="0.25">
      <c r="B23" s="18" t="s">
        <v>53</v>
      </c>
      <c r="C23" s="16" t="s">
        <v>46</v>
      </c>
      <c r="D23" s="15" t="s">
        <v>47</v>
      </c>
      <c r="E23" s="31" t="s">
        <v>11</v>
      </c>
      <c r="F23" s="39">
        <f>SUM(F18)</f>
        <v>0</v>
      </c>
      <c r="G23" s="51"/>
      <c r="H23" s="94"/>
      <c r="I23" s="94"/>
    </row>
    <row r="24" spans="2:9" ht="18.600000000000001" customHeight="1" thickBot="1" x14ac:dyDescent="0.3">
      <c r="B24" s="41" t="s">
        <v>54</v>
      </c>
      <c r="C24" s="42" t="s">
        <v>280</v>
      </c>
      <c r="D24" s="43" t="s">
        <v>56</v>
      </c>
      <c r="E24" s="52" t="s">
        <v>57</v>
      </c>
      <c r="F24" s="53">
        <v>30.2</v>
      </c>
      <c r="G24" s="54" t="s">
        <v>58</v>
      </c>
      <c r="H24" s="94"/>
      <c r="I24" s="94"/>
    </row>
    <row r="25" spans="2:9" ht="16.5" x14ac:dyDescent="0.25">
      <c r="B25" s="55" t="s">
        <v>59</v>
      </c>
      <c r="C25" s="164" t="s">
        <v>278</v>
      </c>
      <c r="D25" s="165"/>
      <c r="E25" s="165"/>
      <c r="F25" s="165"/>
      <c r="G25" s="166"/>
      <c r="H25" s="94"/>
      <c r="I25" s="94"/>
    </row>
    <row r="26" spans="2:9" ht="18" customHeight="1" x14ac:dyDescent="0.25">
      <c r="B26" s="18">
        <v>4</v>
      </c>
      <c r="C26" s="56" t="s">
        <v>60</v>
      </c>
      <c r="D26" s="57" t="s">
        <v>61</v>
      </c>
      <c r="E26" s="58" t="s">
        <v>11</v>
      </c>
      <c r="F26" s="59">
        <f>F27*((F28/100)*(1+0.01*F29)+((F30/F31)*(F32/12)))*F33</f>
        <v>11.640024</v>
      </c>
      <c r="G26" s="60" t="s">
        <v>245</v>
      </c>
      <c r="H26" s="94"/>
      <c r="I26" s="94"/>
    </row>
    <row r="27" spans="2:9" x14ac:dyDescent="0.25">
      <c r="B27" s="61" t="s">
        <v>62</v>
      </c>
      <c r="C27" s="16" t="s">
        <v>63</v>
      </c>
      <c r="D27" s="15" t="s">
        <v>64</v>
      </c>
      <c r="E27" s="31" t="s">
        <v>21</v>
      </c>
      <c r="F27" s="87">
        <v>72</v>
      </c>
      <c r="G27" s="85" t="s">
        <v>366</v>
      </c>
      <c r="H27" s="94"/>
      <c r="I27" s="94"/>
    </row>
    <row r="28" spans="2:9" ht="114.75" customHeight="1" x14ac:dyDescent="0.25">
      <c r="B28" s="61" t="s">
        <v>65</v>
      </c>
      <c r="C28" s="16" t="s">
        <v>279</v>
      </c>
      <c r="D28" s="15" t="s">
        <v>246</v>
      </c>
      <c r="E28" s="31" t="s">
        <v>66</v>
      </c>
      <c r="F28" s="91">
        <v>14.2</v>
      </c>
      <c r="G28" s="85" t="s">
        <v>356</v>
      </c>
      <c r="H28" s="94"/>
      <c r="I28" s="94"/>
    </row>
    <row r="29" spans="2:9" ht="102.75" customHeight="1" x14ac:dyDescent="0.25">
      <c r="B29" s="61" t="s">
        <v>67</v>
      </c>
      <c r="C29" s="16" t="s">
        <v>68</v>
      </c>
      <c r="D29" s="15" t="s">
        <v>69</v>
      </c>
      <c r="E29" s="31" t="s">
        <v>57</v>
      </c>
      <c r="F29" s="36">
        <v>10</v>
      </c>
      <c r="G29" s="19" t="s">
        <v>70</v>
      </c>
      <c r="H29" s="94"/>
      <c r="I29" s="94"/>
    </row>
    <row r="30" spans="2:9" ht="45" x14ac:dyDescent="0.25">
      <c r="B30" s="61" t="s">
        <v>71</v>
      </c>
      <c r="C30" s="16" t="s">
        <v>72</v>
      </c>
      <c r="D30" s="62" t="s">
        <v>247</v>
      </c>
      <c r="E30" s="31" t="s">
        <v>73</v>
      </c>
      <c r="F30" s="105">
        <v>0</v>
      </c>
      <c r="G30" s="19" t="s">
        <v>379</v>
      </c>
      <c r="H30" s="94"/>
      <c r="I30" s="94"/>
    </row>
    <row r="31" spans="2:9" ht="16.5" customHeight="1" x14ac:dyDescent="0.25">
      <c r="B31" s="61" t="s">
        <v>74</v>
      </c>
      <c r="C31" s="16" t="s">
        <v>75</v>
      </c>
      <c r="D31" s="62" t="s">
        <v>76</v>
      </c>
      <c r="E31" s="31" t="s">
        <v>77</v>
      </c>
      <c r="F31" s="106">
        <v>70</v>
      </c>
      <c r="G31" s="88"/>
      <c r="H31" s="94"/>
      <c r="I31" s="94"/>
    </row>
    <row r="32" spans="2:9" ht="27" customHeight="1" x14ac:dyDescent="0.25">
      <c r="B32" s="61" t="s">
        <v>78</v>
      </c>
      <c r="C32" s="16" t="s">
        <v>79</v>
      </c>
      <c r="D32" s="62" t="s">
        <v>80</v>
      </c>
      <c r="E32" s="31" t="s">
        <v>220</v>
      </c>
      <c r="F32" s="107">
        <v>4</v>
      </c>
      <c r="G32" s="88" t="s">
        <v>389</v>
      </c>
      <c r="H32" s="94"/>
      <c r="I32" s="94"/>
    </row>
    <row r="33" spans="2:9" ht="30" x14ac:dyDescent="0.25">
      <c r="B33" s="61" t="s">
        <v>81</v>
      </c>
      <c r="C33" s="16" t="s">
        <v>82</v>
      </c>
      <c r="D33" s="15" t="s">
        <v>83</v>
      </c>
      <c r="E33" s="15" t="s">
        <v>182</v>
      </c>
      <c r="F33" s="104">
        <v>1.0349999999999999</v>
      </c>
      <c r="G33" s="63" t="s">
        <v>218</v>
      </c>
      <c r="H33" s="94"/>
      <c r="I33" s="94"/>
    </row>
    <row r="34" spans="2:9" ht="16.5" x14ac:dyDescent="0.25">
      <c r="B34" s="18" t="s">
        <v>84</v>
      </c>
      <c r="C34" s="167" t="s">
        <v>281</v>
      </c>
      <c r="D34" s="168"/>
      <c r="E34" s="168"/>
      <c r="F34" s="168"/>
      <c r="G34" s="169"/>
      <c r="H34" s="94"/>
      <c r="I34" s="94"/>
    </row>
    <row r="35" spans="2:9" ht="17.25" x14ac:dyDescent="0.25">
      <c r="B35" s="18">
        <v>5</v>
      </c>
      <c r="C35" s="16" t="s">
        <v>85</v>
      </c>
      <c r="D35" s="15" t="s">
        <v>86</v>
      </c>
      <c r="E35" s="58" t="s">
        <v>11</v>
      </c>
      <c r="F35" s="64">
        <f>0.075*F36</f>
        <v>0.87300180000000005</v>
      </c>
      <c r="G35" s="19" t="s">
        <v>248</v>
      </c>
      <c r="H35" s="94"/>
      <c r="I35" s="94"/>
    </row>
    <row r="36" spans="2:9" ht="17.25" x14ac:dyDescent="0.25">
      <c r="B36" s="18" t="s">
        <v>87</v>
      </c>
      <c r="C36" s="56" t="s">
        <v>60</v>
      </c>
      <c r="D36" s="57" t="s">
        <v>61</v>
      </c>
      <c r="E36" s="58" t="s">
        <v>11</v>
      </c>
      <c r="F36" s="65">
        <f>SUM(F26)</f>
        <v>11.640024</v>
      </c>
      <c r="G36" s="51" t="s">
        <v>357</v>
      </c>
      <c r="H36" s="94"/>
      <c r="I36" s="94"/>
    </row>
    <row r="37" spans="2:9" ht="16.5" x14ac:dyDescent="0.25">
      <c r="B37" s="18" t="s">
        <v>89</v>
      </c>
      <c r="C37" s="167" t="s">
        <v>282</v>
      </c>
      <c r="D37" s="168"/>
      <c r="E37" s="168"/>
      <c r="F37" s="168"/>
      <c r="G37" s="169"/>
      <c r="H37" s="94"/>
      <c r="I37" s="94"/>
    </row>
    <row r="38" spans="2:9" ht="17.25" x14ac:dyDescent="0.25">
      <c r="B38" s="18">
        <v>6</v>
      </c>
      <c r="C38" s="16" t="s">
        <v>90</v>
      </c>
      <c r="D38" s="15" t="s">
        <v>91</v>
      </c>
      <c r="E38" s="31" t="s">
        <v>11</v>
      </c>
      <c r="F38" s="62">
        <f>F39*F40</f>
        <v>0.29288000000000003</v>
      </c>
      <c r="G38" s="19" t="s">
        <v>249</v>
      </c>
      <c r="H38" s="94"/>
      <c r="I38" s="94"/>
    </row>
    <row r="39" spans="2:9" ht="75" x14ac:dyDescent="0.25">
      <c r="B39" s="18" t="s">
        <v>92</v>
      </c>
      <c r="C39" s="16" t="s">
        <v>93</v>
      </c>
      <c r="D39" s="15" t="s">
        <v>94</v>
      </c>
      <c r="E39" s="31" t="s">
        <v>16</v>
      </c>
      <c r="F39" s="39">
        <v>0.28000000000000003</v>
      </c>
      <c r="G39" s="19" t="s">
        <v>311</v>
      </c>
      <c r="H39" s="94"/>
      <c r="I39" s="94"/>
    </row>
    <row r="40" spans="2:9" ht="45.6" customHeight="1" x14ac:dyDescent="0.25">
      <c r="B40" s="18" t="s">
        <v>95</v>
      </c>
      <c r="C40" s="16" t="s">
        <v>96</v>
      </c>
      <c r="D40" s="15" t="s">
        <v>97</v>
      </c>
      <c r="E40" s="15" t="s">
        <v>16</v>
      </c>
      <c r="F40" s="104">
        <v>1.046</v>
      </c>
      <c r="G40" s="19" t="s">
        <v>98</v>
      </c>
      <c r="H40" s="94"/>
      <c r="I40" s="94"/>
    </row>
    <row r="41" spans="2:9" ht="16.5" x14ac:dyDescent="0.25">
      <c r="B41" s="18" t="s">
        <v>99</v>
      </c>
      <c r="C41" s="151" t="s">
        <v>283</v>
      </c>
      <c r="D41" s="152"/>
      <c r="E41" s="152"/>
      <c r="F41" s="152"/>
      <c r="G41" s="153"/>
      <c r="H41" s="94"/>
      <c r="I41" s="94"/>
    </row>
    <row r="42" spans="2:9" ht="17.25" x14ac:dyDescent="0.25">
      <c r="B42" s="18" t="s">
        <v>100</v>
      </c>
      <c r="C42" s="16" t="s">
        <v>101</v>
      </c>
      <c r="D42" s="15" t="s">
        <v>102</v>
      </c>
      <c r="E42" s="31" t="s">
        <v>11</v>
      </c>
      <c r="F42" s="62">
        <f>F43+F57</f>
        <v>10.186279401091392</v>
      </c>
      <c r="G42" s="19" t="s">
        <v>250</v>
      </c>
      <c r="H42" s="94"/>
      <c r="I42" s="94"/>
    </row>
    <row r="43" spans="2:9" ht="30" x14ac:dyDescent="0.25">
      <c r="B43" s="18" t="s">
        <v>103</v>
      </c>
      <c r="C43" s="16" t="s">
        <v>104</v>
      </c>
      <c r="D43" s="15" t="s">
        <v>105</v>
      </c>
      <c r="E43" s="31" t="s">
        <v>11</v>
      </c>
      <c r="F43" s="39">
        <f>(F45*(F48/F55))*F47*((F52/F46)+(F53*F54))*F44*(1+(F56/100))</f>
        <v>6.0022794010913918</v>
      </c>
      <c r="G43" s="19" t="s">
        <v>251</v>
      </c>
      <c r="H43" s="94"/>
      <c r="I43" s="94"/>
    </row>
    <row r="44" spans="2:9" ht="34.5" customHeight="1" x14ac:dyDescent="0.25">
      <c r="B44" s="18" t="s">
        <v>106</v>
      </c>
      <c r="C44" s="66" t="s">
        <v>107</v>
      </c>
      <c r="D44" s="18">
        <v>1E-3</v>
      </c>
      <c r="E44" s="18" t="s">
        <v>16</v>
      </c>
      <c r="F44" s="18">
        <v>1E-3</v>
      </c>
      <c r="G44" s="67"/>
      <c r="H44" s="94"/>
      <c r="I44" s="94"/>
    </row>
    <row r="45" spans="2:9" x14ac:dyDescent="0.25">
      <c r="B45" s="18" t="s">
        <v>108</v>
      </c>
      <c r="C45" s="16" t="s">
        <v>14</v>
      </c>
      <c r="D45" s="15">
        <v>12</v>
      </c>
      <c r="E45" s="31" t="s">
        <v>15</v>
      </c>
      <c r="F45" s="32">
        <v>7</v>
      </c>
      <c r="G45" s="67"/>
      <c r="H45" s="94"/>
      <c r="I45" s="94"/>
    </row>
    <row r="46" spans="2:9" ht="34.5" customHeight="1" x14ac:dyDescent="0.25">
      <c r="B46" s="18" t="s">
        <v>109</v>
      </c>
      <c r="C46" s="16" t="s">
        <v>253</v>
      </c>
      <c r="D46" s="15" t="s">
        <v>252</v>
      </c>
      <c r="E46" s="31" t="s">
        <v>182</v>
      </c>
      <c r="F46" s="39">
        <v>0.9</v>
      </c>
      <c r="G46" s="108" t="s">
        <v>358</v>
      </c>
      <c r="H46" s="94"/>
      <c r="I46" s="94"/>
    </row>
    <row r="47" spans="2:9" ht="17.25" x14ac:dyDescent="0.25">
      <c r="B47" s="30" t="s">
        <v>110</v>
      </c>
      <c r="C47" s="16" t="s">
        <v>38</v>
      </c>
      <c r="D47" s="15" t="s">
        <v>39</v>
      </c>
      <c r="E47" s="15" t="s">
        <v>182</v>
      </c>
      <c r="F47" s="104">
        <f>F14</f>
        <v>1.0469999999999999</v>
      </c>
      <c r="G47" s="33" t="s">
        <v>370</v>
      </c>
      <c r="H47" s="94"/>
      <c r="I47" s="94"/>
    </row>
    <row r="48" spans="2:9" ht="16.5" x14ac:dyDescent="0.25">
      <c r="B48" s="19" t="s">
        <v>111</v>
      </c>
      <c r="C48" s="66" t="s">
        <v>257</v>
      </c>
      <c r="D48" s="15" t="s">
        <v>112</v>
      </c>
      <c r="E48" s="31" t="s">
        <v>21</v>
      </c>
      <c r="F48" s="17">
        <f>F49*F50*F51</f>
        <v>68790</v>
      </c>
      <c r="G48" s="19" t="s">
        <v>113</v>
      </c>
      <c r="H48" s="94"/>
      <c r="I48" s="94"/>
    </row>
    <row r="49" spans="2:9" ht="51" customHeight="1" x14ac:dyDescent="0.25">
      <c r="B49" s="18" t="s">
        <v>114</v>
      </c>
      <c r="C49" s="16" t="s">
        <v>115</v>
      </c>
      <c r="D49" s="15" t="s">
        <v>24</v>
      </c>
      <c r="E49" s="31" t="s">
        <v>21</v>
      </c>
      <c r="F49" s="87">
        <v>68790</v>
      </c>
      <c r="G49" s="33" t="str">
        <f>G9</f>
        <v xml:space="preserve">согласно фактическим данным предриятий за 2024г. </v>
      </c>
      <c r="H49" s="94"/>
      <c r="I49" s="94"/>
    </row>
    <row r="50" spans="2:9" ht="30" x14ac:dyDescent="0.25">
      <c r="B50" s="18" t="s">
        <v>116</v>
      </c>
      <c r="C50" s="66" t="s">
        <v>328</v>
      </c>
      <c r="D50" s="15" t="s">
        <v>217</v>
      </c>
      <c r="E50" s="15" t="s">
        <v>182</v>
      </c>
      <c r="F50" s="39">
        <v>1</v>
      </c>
      <c r="G50" s="19" t="s">
        <v>359</v>
      </c>
      <c r="H50" s="94"/>
      <c r="I50" s="94"/>
    </row>
    <row r="51" spans="2:9" ht="33" customHeight="1" x14ac:dyDescent="0.25">
      <c r="B51" s="18" t="s">
        <v>117</v>
      </c>
      <c r="C51" s="68" t="s">
        <v>29</v>
      </c>
      <c r="D51" s="38" t="s">
        <v>30</v>
      </c>
      <c r="E51" s="31" t="s">
        <v>12</v>
      </c>
      <c r="F51" s="39">
        <v>1</v>
      </c>
      <c r="G51" s="33" t="s">
        <v>31</v>
      </c>
      <c r="H51" s="94"/>
      <c r="I51" s="94"/>
    </row>
    <row r="52" spans="2:9" ht="75.95" customHeight="1" x14ac:dyDescent="0.25">
      <c r="B52" s="18" t="s">
        <v>118</v>
      </c>
      <c r="C52" s="16" t="s">
        <v>119</v>
      </c>
      <c r="D52" s="15" t="s">
        <v>120</v>
      </c>
      <c r="E52" s="15" t="s">
        <v>16</v>
      </c>
      <c r="F52" s="39">
        <v>8</v>
      </c>
      <c r="G52" s="19" t="s">
        <v>352</v>
      </c>
      <c r="H52" s="94"/>
      <c r="I52" s="94"/>
    </row>
    <row r="53" spans="2:9" ht="79.5" customHeight="1" x14ac:dyDescent="0.25">
      <c r="B53" s="18" t="s">
        <v>122</v>
      </c>
      <c r="C53" s="16" t="s">
        <v>123</v>
      </c>
      <c r="D53" s="15" t="s">
        <v>124</v>
      </c>
      <c r="E53" s="15" t="s">
        <v>16</v>
      </c>
      <c r="F53" s="18">
        <v>6.4</v>
      </c>
      <c r="G53" s="19" t="s">
        <v>353</v>
      </c>
      <c r="H53" s="94"/>
      <c r="I53" s="94"/>
    </row>
    <row r="54" spans="2:9" ht="34.5" customHeight="1" x14ac:dyDescent="0.25">
      <c r="B54" s="18" t="s">
        <v>125</v>
      </c>
      <c r="C54" s="16" t="s">
        <v>256</v>
      </c>
      <c r="D54" s="20" t="s">
        <v>255</v>
      </c>
      <c r="E54" s="15" t="s">
        <v>16</v>
      </c>
      <c r="F54" s="39">
        <f>SUM('КЗп, КЗ, КЗЧ'!C4)</f>
        <v>1.2</v>
      </c>
      <c r="G54" s="19" t="s">
        <v>254</v>
      </c>
      <c r="H54" s="94"/>
      <c r="I54" s="94"/>
    </row>
    <row r="55" spans="2:9" ht="30" x14ac:dyDescent="0.25">
      <c r="B55" s="18" t="s">
        <v>126</v>
      </c>
      <c r="C55" s="16" t="s">
        <v>43</v>
      </c>
      <c r="D55" s="15" t="s">
        <v>44</v>
      </c>
      <c r="E55" s="15" t="s">
        <v>8</v>
      </c>
      <c r="F55" s="12">
        <v>1812</v>
      </c>
      <c r="G55" s="19" t="s">
        <v>355</v>
      </c>
      <c r="H55" s="94"/>
      <c r="I55" s="94"/>
    </row>
    <row r="56" spans="2:9" x14ac:dyDescent="0.25">
      <c r="B56" s="18" t="s">
        <v>127</v>
      </c>
      <c r="C56" s="16" t="s">
        <v>55</v>
      </c>
      <c r="D56" s="15" t="s">
        <v>56</v>
      </c>
      <c r="E56" s="31" t="s">
        <v>57</v>
      </c>
      <c r="F56" s="69">
        <v>30.2</v>
      </c>
      <c r="G56" s="19" t="s">
        <v>58</v>
      </c>
      <c r="H56" s="94"/>
      <c r="I56" s="94"/>
    </row>
    <row r="57" spans="2:9" ht="36.6" customHeight="1" x14ac:dyDescent="0.25">
      <c r="B57" s="18" t="s">
        <v>128</v>
      </c>
      <c r="C57" s="16" t="s">
        <v>129</v>
      </c>
      <c r="D57" s="15" t="s">
        <v>130</v>
      </c>
      <c r="E57" s="31" t="s">
        <v>11</v>
      </c>
      <c r="F57" s="39">
        <f>F58*F59*F60</f>
        <v>4.1840000000000002</v>
      </c>
      <c r="G57" s="19" t="s">
        <v>259</v>
      </c>
      <c r="H57" s="94"/>
      <c r="I57" s="94"/>
    </row>
    <row r="58" spans="2:9" ht="75" x14ac:dyDescent="0.25">
      <c r="B58" s="18" t="s">
        <v>131</v>
      </c>
      <c r="C58" s="16" t="s">
        <v>132</v>
      </c>
      <c r="D58" s="15" t="s">
        <v>133</v>
      </c>
      <c r="E58" s="15" t="s">
        <v>182</v>
      </c>
      <c r="F58" s="39">
        <v>3.2</v>
      </c>
      <c r="G58" s="19" t="s">
        <v>313</v>
      </c>
      <c r="H58" s="94"/>
      <c r="I58" s="94"/>
    </row>
    <row r="59" spans="2:9" ht="30" x14ac:dyDescent="0.25">
      <c r="B59" s="18" t="s">
        <v>134</v>
      </c>
      <c r="C59" s="16" t="s">
        <v>258</v>
      </c>
      <c r="D59" s="15" t="s">
        <v>135</v>
      </c>
      <c r="E59" s="15" t="s">
        <v>182</v>
      </c>
      <c r="F59" s="39">
        <f>SUM('КЗп, КЗ, КЗЧ'!D4)</f>
        <v>1.25</v>
      </c>
      <c r="G59" s="19" t="s">
        <v>145</v>
      </c>
      <c r="H59" s="94"/>
      <c r="I59" s="94"/>
    </row>
    <row r="60" spans="2:9" ht="45" x14ac:dyDescent="0.25">
      <c r="B60" s="18" t="s">
        <v>134</v>
      </c>
      <c r="C60" s="16" t="s">
        <v>96</v>
      </c>
      <c r="D60" s="15" t="s">
        <v>97</v>
      </c>
      <c r="E60" s="15" t="s">
        <v>16</v>
      </c>
      <c r="F60" s="89">
        <v>1.046</v>
      </c>
      <c r="G60" s="85" t="s">
        <v>136</v>
      </c>
      <c r="H60" s="94"/>
      <c r="I60" s="94"/>
    </row>
    <row r="61" spans="2:9" ht="16.5" x14ac:dyDescent="0.25">
      <c r="B61" s="70" t="s">
        <v>137</v>
      </c>
      <c r="C61" s="170" t="s">
        <v>138</v>
      </c>
      <c r="D61" s="171"/>
      <c r="E61" s="171"/>
      <c r="F61" s="171"/>
      <c r="G61" s="171"/>
      <c r="H61" s="94"/>
      <c r="I61" s="94"/>
    </row>
    <row r="62" spans="2:9" ht="30" x14ac:dyDescent="0.25">
      <c r="B62" s="18">
        <v>8</v>
      </c>
      <c r="C62" s="63" t="s">
        <v>139</v>
      </c>
      <c r="D62" s="71" t="s">
        <v>140</v>
      </c>
      <c r="E62" s="72" t="s">
        <v>11</v>
      </c>
      <c r="F62" s="50">
        <f>F63*(F64+F65+F66+F67)</f>
        <v>17.359099826824004</v>
      </c>
      <c r="G62" s="19" t="s">
        <v>260</v>
      </c>
      <c r="H62" s="94"/>
      <c r="I62" s="94"/>
    </row>
    <row r="63" spans="2:9" ht="30" x14ac:dyDescent="0.25">
      <c r="B63" s="18" t="s">
        <v>141</v>
      </c>
      <c r="C63" s="37" t="s">
        <v>142</v>
      </c>
      <c r="D63" s="73" t="s">
        <v>143</v>
      </c>
      <c r="E63" s="74" t="s">
        <v>144</v>
      </c>
      <c r="F63" s="18">
        <v>0.755</v>
      </c>
      <c r="G63" s="19" t="s">
        <v>360</v>
      </c>
      <c r="H63" s="94"/>
      <c r="I63" s="94"/>
    </row>
    <row r="64" spans="2:9" ht="17.25" x14ac:dyDescent="0.25">
      <c r="B64" s="18" t="s">
        <v>146</v>
      </c>
      <c r="C64" s="56" t="s">
        <v>60</v>
      </c>
      <c r="D64" s="57" t="s">
        <v>61</v>
      </c>
      <c r="E64" s="58" t="s">
        <v>11</v>
      </c>
      <c r="F64" s="75">
        <f>F36</f>
        <v>11.640024</v>
      </c>
      <c r="G64" s="76"/>
      <c r="H64" s="94"/>
      <c r="I64" s="94"/>
    </row>
    <row r="65" spans="2:9" ht="17.25" x14ac:dyDescent="0.25">
      <c r="B65" s="18" t="s">
        <v>147</v>
      </c>
      <c r="C65" s="16" t="s">
        <v>85</v>
      </c>
      <c r="D65" s="15" t="s">
        <v>86</v>
      </c>
      <c r="E65" s="58" t="s">
        <v>11</v>
      </c>
      <c r="F65" s="77">
        <f>F35</f>
        <v>0.87300180000000005</v>
      </c>
      <c r="G65" s="78"/>
      <c r="H65" s="94"/>
      <c r="I65" s="94"/>
    </row>
    <row r="66" spans="2:9" ht="17.25" x14ac:dyDescent="0.25">
      <c r="B66" s="21" t="s">
        <v>148</v>
      </c>
      <c r="C66" s="16" t="s">
        <v>90</v>
      </c>
      <c r="D66" s="15" t="s">
        <v>91</v>
      </c>
      <c r="E66" s="31" t="s">
        <v>11</v>
      </c>
      <c r="F66" s="77">
        <f>F38</f>
        <v>0.29288000000000003</v>
      </c>
      <c r="G66" s="78"/>
      <c r="H66" s="94"/>
      <c r="I66" s="94"/>
    </row>
    <row r="67" spans="2:9" ht="17.25" x14ac:dyDescent="0.25">
      <c r="B67" s="21" t="s">
        <v>149</v>
      </c>
      <c r="C67" s="16" t="s">
        <v>101</v>
      </c>
      <c r="D67" s="15" t="s">
        <v>102</v>
      </c>
      <c r="E67" s="31" t="s">
        <v>11</v>
      </c>
      <c r="F67" s="77">
        <f>F42</f>
        <v>10.186279401091392</v>
      </c>
      <c r="G67" s="78"/>
      <c r="H67" s="94"/>
      <c r="I67" s="94"/>
    </row>
    <row r="68" spans="2:9" ht="16.5" x14ac:dyDescent="0.25">
      <c r="B68" s="21" t="s">
        <v>150</v>
      </c>
      <c r="C68" s="151" t="s">
        <v>151</v>
      </c>
      <c r="D68" s="152"/>
      <c r="E68" s="152"/>
      <c r="F68" s="152"/>
      <c r="G68" s="153"/>
      <c r="H68" s="94"/>
      <c r="I68" s="94"/>
    </row>
    <row r="69" spans="2:9" ht="17.25" x14ac:dyDescent="0.25">
      <c r="B69" s="18">
        <v>9</v>
      </c>
      <c r="C69" s="16" t="s">
        <v>152</v>
      </c>
      <c r="D69" s="15" t="s">
        <v>153</v>
      </c>
      <c r="E69" s="31" t="s">
        <v>11</v>
      </c>
      <c r="F69" s="79">
        <f>F6+F18+F21+F26+F35+F38+F42+F62</f>
        <v>49.249132502184878</v>
      </c>
      <c r="G69" s="19" t="s">
        <v>154</v>
      </c>
      <c r="H69" s="94"/>
      <c r="I69" s="94"/>
    </row>
    <row r="70" spans="2:9" x14ac:dyDescent="0.25">
      <c r="B70" s="22"/>
      <c r="C70" s="22"/>
      <c r="D70" s="22"/>
      <c r="E70" s="22"/>
      <c r="F70" s="22"/>
      <c r="G70" s="22"/>
      <c r="H70" s="97"/>
      <c r="I70" s="97"/>
    </row>
    <row r="71" spans="2:9" ht="19.5" x14ac:dyDescent="0.3">
      <c r="B71" s="154" t="s">
        <v>155</v>
      </c>
      <c r="C71" s="154"/>
      <c r="D71" s="154"/>
      <c r="E71" s="154"/>
      <c r="F71" s="154"/>
      <c r="G71" s="154"/>
      <c r="H71" s="97"/>
      <c r="I71" s="97"/>
    </row>
    <row r="72" spans="2:9" x14ac:dyDescent="0.25">
      <c r="B72" s="23"/>
      <c r="C72" s="23"/>
      <c r="D72" s="23"/>
      <c r="E72" s="23"/>
      <c r="F72" s="23"/>
      <c r="G72" s="23"/>
      <c r="H72" s="97"/>
      <c r="I72" s="97"/>
    </row>
    <row r="73" spans="2:9" ht="30" x14ac:dyDescent="0.25">
      <c r="B73" s="18">
        <v>10</v>
      </c>
      <c r="C73" s="16" t="s">
        <v>156</v>
      </c>
      <c r="D73" s="20" t="s">
        <v>157</v>
      </c>
      <c r="E73" s="31" t="s">
        <v>21</v>
      </c>
      <c r="F73" s="17">
        <f>(F74*F75*F76/F77)+F79*F80*F78*F82*F83/(12*F81)</f>
        <v>419027.98519415891</v>
      </c>
      <c r="G73" s="19" t="s">
        <v>261</v>
      </c>
      <c r="H73" s="97"/>
      <c r="I73" s="97"/>
    </row>
    <row r="74" spans="2:9" ht="17.25" x14ac:dyDescent="0.25">
      <c r="B74" s="80" t="s">
        <v>158</v>
      </c>
      <c r="C74" s="16" t="s">
        <v>159</v>
      </c>
      <c r="D74" s="15" t="s">
        <v>153</v>
      </c>
      <c r="E74" s="31" t="s">
        <v>11</v>
      </c>
      <c r="F74" s="17">
        <f>F69</f>
        <v>49.249132502184878</v>
      </c>
      <c r="G74" s="19" t="s">
        <v>12</v>
      </c>
      <c r="H74" s="97"/>
      <c r="I74" s="97"/>
    </row>
    <row r="75" spans="2:9" ht="30" x14ac:dyDescent="0.25">
      <c r="B75" s="18" t="s">
        <v>160</v>
      </c>
      <c r="C75" s="16" t="s">
        <v>161</v>
      </c>
      <c r="D75" s="15" t="s">
        <v>262</v>
      </c>
      <c r="E75" s="31" t="s">
        <v>144</v>
      </c>
      <c r="F75" s="20">
        <v>1.0960000000000001</v>
      </c>
      <c r="G75" s="19" t="s">
        <v>361</v>
      </c>
      <c r="H75" s="97"/>
      <c r="I75" s="97"/>
    </row>
    <row r="76" spans="2:9" ht="30" customHeight="1" x14ac:dyDescent="0.25">
      <c r="B76" s="18" t="s">
        <v>162</v>
      </c>
      <c r="C76" s="16" t="s">
        <v>18</v>
      </c>
      <c r="D76" s="15" t="s">
        <v>17</v>
      </c>
      <c r="E76" s="31" t="s">
        <v>19</v>
      </c>
      <c r="F76" s="122">
        <v>7064.4</v>
      </c>
      <c r="G76" s="111" t="s">
        <v>375</v>
      </c>
      <c r="H76" s="97"/>
      <c r="I76" s="97"/>
    </row>
    <row r="77" spans="2:9" ht="45" x14ac:dyDescent="0.25">
      <c r="B77" s="18" t="s">
        <v>163</v>
      </c>
      <c r="C77" s="16" t="s">
        <v>164</v>
      </c>
      <c r="D77" s="15" t="s">
        <v>165</v>
      </c>
      <c r="E77" s="31" t="s">
        <v>16</v>
      </c>
      <c r="F77" s="85">
        <v>0.91</v>
      </c>
      <c r="G77" s="111" t="s">
        <v>314</v>
      </c>
      <c r="H77" s="97"/>
      <c r="I77" s="97"/>
    </row>
    <row r="78" spans="2:9" x14ac:dyDescent="0.25">
      <c r="B78" s="80" t="s">
        <v>166</v>
      </c>
      <c r="C78" s="16" t="s">
        <v>265</v>
      </c>
      <c r="D78" s="15" t="s">
        <v>266</v>
      </c>
      <c r="E78" s="31" t="s">
        <v>182</v>
      </c>
      <c r="F78" s="81">
        <v>1</v>
      </c>
      <c r="G78" s="19" t="s">
        <v>267</v>
      </c>
      <c r="H78" s="97"/>
      <c r="I78" s="97"/>
    </row>
    <row r="79" spans="2:9" ht="30" x14ac:dyDescent="0.25">
      <c r="B79" s="80" t="s">
        <v>167</v>
      </c>
      <c r="C79" s="16" t="s">
        <v>263</v>
      </c>
      <c r="D79" s="15" t="s">
        <v>168</v>
      </c>
      <c r="E79" s="31" t="s">
        <v>169</v>
      </c>
      <c r="F79" s="110">
        <v>1</v>
      </c>
      <c r="G79" s="85" t="s">
        <v>170</v>
      </c>
      <c r="H79" s="97"/>
      <c r="I79" s="97"/>
    </row>
    <row r="80" spans="2:9" ht="45" x14ac:dyDescent="0.25">
      <c r="B80" s="80" t="s">
        <v>171</v>
      </c>
      <c r="C80" s="16" t="s">
        <v>172</v>
      </c>
      <c r="D80" s="15" t="s">
        <v>173</v>
      </c>
      <c r="E80" s="31" t="s">
        <v>21</v>
      </c>
      <c r="F80" s="112">
        <v>0</v>
      </c>
      <c r="G80" s="85" t="s">
        <v>174</v>
      </c>
      <c r="H80" s="97"/>
      <c r="I80" s="97"/>
    </row>
    <row r="81" spans="2:9" x14ac:dyDescent="0.25">
      <c r="B81" s="80" t="s">
        <v>175</v>
      </c>
      <c r="C81" s="16" t="s">
        <v>176</v>
      </c>
      <c r="D81" s="15" t="s">
        <v>177</v>
      </c>
      <c r="E81" s="31" t="s">
        <v>178</v>
      </c>
      <c r="F81" s="32">
        <v>5</v>
      </c>
      <c r="G81" s="19" t="s">
        <v>264</v>
      </c>
      <c r="H81" s="97"/>
      <c r="I81" s="97"/>
    </row>
    <row r="82" spans="2:9" ht="45" x14ac:dyDescent="0.25">
      <c r="B82" s="80" t="s">
        <v>179</v>
      </c>
      <c r="C82" s="16" t="s">
        <v>180</v>
      </c>
      <c r="D82" s="15" t="s">
        <v>181</v>
      </c>
      <c r="E82" s="31" t="s">
        <v>182</v>
      </c>
      <c r="F82" s="65">
        <v>1.046</v>
      </c>
      <c r="G82" s="19" t="s">
        <v>183</v>
      </c>
      <c r="H82" s="97"/>
      <c r="I82" s="97"/>
    </row>
    <row r="83" spans="2:9" x14ac:dyDescent="0.25">
      <c r="B83" s="82" t="s">
        <v>268</v>
      </c>
      <c r="C83" s="16" t="s">
        <v>184</v>
      </c>
      <c r="D83" s="15" t="s">
        <v>185</v>
      </c>
      <c r="E83" s="31" t="s">
        <v>219</v>
      </c>
      <c r="F83" s="126">
        <v>7</v>
      </c>
      <c r="G83" s="111" t="s">
        <v>375</v>
      </c>
      <c r="H83" s="97"/>
      <c r="I83" s="97"/>
    </row>
    <row r="84" spans="2:9" ht="30" x14ac:dyDescent="0.25">
      <c r="B84" s="80" t="s">
        <v>298</v>
      </c>
      <c r="C84" s="16" t="s">
        <v>240</v>
      </c>
      <c r="D84" s="15" t="s">
        <v>239</v>
      </c>
      <c r="E84" s="31" t="s">
        <v>19</v>
      </c>
      <c r="F84" s="114">
        <f>3*30.3*40.6*2</f>
        <v>7381.0800000000008</v>
      </c>
      <c r="G84" s="85"/>
      <c r="H84" s="97"/>
      <c r="I84" s="97"/>
    </row>
    <row r="85" spans="2:9" ht="30" customHeight="1" x14ac:dyDescent="0.25">
      <c r="B85" s="82" t="s">
        <v>299</v>
      </c>
      <c r="C85" s="19" t="s">
        <v>269</v>
      </c>
      <c r="D85" s="15" t="s">
        <v>186</v>
      </c>
      <c r="E85" s="31" t="s">
        <v>187</v>
      </c>
      <c r="F85" s="103">
        <f>F84*16</f>
        <v>118097.28000000001</v>
      </c>
      <c r="G85" s="85" t="s">
        <v>188</v>
      </c>
      <c r="H85" s="97"/>
      <c r="I85" s="97"/>
    </row>
    <row r="86" spans="2:9" ht="30" customHeight="1" x14ac:dyDescent="0.25">
      <c r="B86" s="80" t="s">
        <v>300</v>
      </c>
      <c r="C86" s="19" t="s">
        <v>270</v>
      </c>
      <c r="D86" s="15" t="s">
        <v>189</v>
      </c>
      <c r="E86" s="31" t="s">
        <v>187</v>
      </c>
      <c r="F86" s="103">
        <f>F85</f>
        <v>118097.28000000001</v>
      </c>
      <c r="G86" s="85" t="s">
        <v>190</v>
      </c>
      <c r="H86" s="97"/>
      <c r="I86" s="97"/>
    </row>
    <row r="87" spans="2:9" ht="45.75" customHeight="1" x14ac:dyDescent="0.25">
      <c r="B87" s="82" t="s">
        <v>301</v>
      </c>
      <c r="C87" s="19" t="s">
        <v>295</v>
      </c>
      <c r="D87" s="15" t="s">
        <v>191</v>
      </c>
      <c r="E87" s="31" t="s">
        <v>21</v>
      </c>
      <c r="F87" s="141">
        <v>2228.39</v>
      </c>
      <c r="G87" s="85" t="s">
        <v>296</v>
      </c>
      <c r="H87" s="97"/>
      <c r="I87" s="97"/>
    </row>
    <row r="88" spans="2:9" ht="46.5" customHeight="1" x14ac:dyDescent="0.25">
      <c r="B88" s="80" t="s">
        <v>302</v>
      </c>
      <c r="C88" s="18" t="s">
        <v>192</v>
      </c>
      <c r="D88" s="15" t="s">
        <v>193</v>
      </c>
      <c r="E88" s="15" t="s">
        <v>182</v>
      </c>
      <c r="F88" s="113">
        <v>1.0409999999999999</v>
      </c>
      <c r="G88" s="84" t="s">
        <v>294</v>
      </c>
      <c r="H88" s="97"/>
      <c r="I88" s="97"/>
    </row>
    <row r="89" spans="2:9" ht="165.75" customHeight="1" x14ac:dyDescent="0.25">
      <c r="B89" s="82" t="s">
        <v>303</v>
      </c>
      <c r="C89" s="18"/>
      <c r="D89" s="15" t="s">
        <v>231</v>
      </c>
      <c r="E89" s="31" t="s">
        <v>21</v>
      </c>
      <c r="F89" s="83">
        <v>0</v>
      </c>
      <c r="G89" s="84" t="s">
        <v>233</v>
      </c>
      <c r="H89" s="97"/>
      <c r="I89" s="97"/>
    </row>
    <row r="90" spans="2:9" ht="117" customHeight="1" x14ac:dyDescent="0.25">
      <c r="B90" s="80" t="s">
        <v>304</v>
      </c>
      <c r="C90" s="18"/>
      <c r="D90" s="15" t="s">
        <v>232</v>
      </c>
      <c r="E90" s="31" t="s">
        <v>21</v>
      </c>
      <c r="F90" s="83">
        <v>0</v>
      </c>
      <c r="G90" s="84" t="s">
        <v>234</v>
      </c>
      <c r="H90" s="97"/>
      <c r="I90" s="97"/>
    </row>
    <row r="91" spans="2:9" ht="131.25" customHeight="1" x14ac:dyDescent="0.25">
      <c r="B91" s="82" t="s">
        <v>305</v>
      </c>
      <c r="C91" s="18"/>
      <c r="D91" s="15" t="s">
        <v>236</v>
      </c>
      <c r="E91" s="31" t="s">
        <v>182</v>
      </c>
      <c r="F91" s="83">
        <v>1</v>
      </c>
      <c r="G91" s="84" t="s">
        <v>237</v>
      </c>
      <c r="H91" s="97"/>
      <c r="I91" s="97"/>
    </row>
    <row r="92" spans="2:9" ht="24.75" customHeight="1" x14ac:dyDescent="0.25">
      <c r="B92" s="80" t="s">
        <v>306</v>
      </c>
      <c r="C92" s="18"/>
      <c r="D92" s="15" t="s">
        <v>194</v>
      </c>
      <c r="E92" s="15"/>
      <c r="F92" s="90">
        <f>F73-F87</f>
        <v>416799.5951941589</v>
      </c>
      <c r="G92" s="19" t="s">
        <v>235</v>
      </c>
      <c r="H92" s="97"/>
      <c r="I92" s="97"/>
    </row>
    <row r="93" spans="2:9" x14ac:dyDescent="0.25">
      <c r="B93" s="93"/>
      <c r="C93" s="93"/>
      <c r="D93" s="93"/>
      <c r="E93" s="93"/>
      <c r="F93" s="95"/>
      <c r="G93" s="96"/>
      <c r="H93" s="97"/>
      <c r="I93" s="97"/>
    </row>
    <row r="94" spans="2:9" x14ac:dyDescent="0.25">
      <c r="B94" s="93"/>
      <c r="C94" s="93"/>
      <c r="D94" s="98"/>
      <c r="E94" s="98"/>
      <c r="F94" s="96"/>
      <c r="G94" s="99"/>
      <c r="H94" s="97"/>
      <c r="I94" s="97"/>
    </row>
    <row r="95" spans="2:9" x14ac:dyDescent="0.25">
      <c r="B95" s="100"/>
      <c r="C95" s="100"/>
      <c r="D95" s="100"/>
      <c r="E95" s="100"/>
      <c r="F95" s="101"/>
      <c r="G95" s="102"/>
      <c r="H95" s="100"/>
      <c r="I95" s="100"/>
    </row>
  </sheetData>
  <mergeCells count="13">
    <mergeCell ref="H18:H19"/>
    <mergeCell ref="C25:G25"/>
    <mergeCell ref="C34:G34"/>
    <mergeCell ref="C2:G2"/>
    <mergeCell ref="B1:G1"/>
    <mergeCell ref="C5:G5"/>
    <mergeCell ref="C17:G17"/>
    <mergeCell ref="C20:G20"/>
    <mergeCell ref="C37:G37"/>
    <mergeCell ref="C41:G41"/>
    <mergeCell ref="C61:G61"/>
    <mergeCell ref="C68:G68"/>
    <mergeCell ref="B71:G71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I95"/>
  <sheetViews>
    <sheetView topLeftCell="A61" zoomScale="80" zoomScaleNormal="80" workbookViewId="0">
      <selection activeCell="G13" sqref="G13"/>
    </sheetView>
  </sheetViews>
  <sheetFormatPr defaultRowHeight="15" x14ac:dyDescent="0.25"/>
  <cols>
    <col min="2" max="2" width="11.42578125" customWidth="1"/>
    <col min="3" max="3" width="77" customWidth="1"/>
    <col min="4" max="4" width="12.5703125" customWidth="1"/>
    <col min="6" max="6" width="16.42578125" customWidth="1"/>
    <col min="7" max="7" width="68.5703125" customWidth="1"/>
    <col min="8" max="8" width="52.140625" customWidth="1"/>
  </cols>
  <sheetData>
    <row r="1" spans="2:9" ht="19.5" x14ac:dyDescent="0.3">
      <c r="B1" s="158" t="s">
        <v>0</v>
      </c>
      <c r="C1" s="158"/>
      <c r="D1" s="158"/>
      <c r="E1" s="158"/>
      <c r="F1" s="158"/>
      <c r="G1" s="158"/>
      <c r="H1" s="1"/>
      <c r="I1" s="1"/>
    </row>
    <row r="2" spans="2:9" ht="19.5" x14ac:dyDescent="0.3">
      <c r="B2" s="118"/>
      <c r="C2" s="158" t="s">
        <v>315</v>
      </c>
      <c r="D2" s="158"/>
      <c r="E2" s="158"/>
      <c r="F2" s="158"/>
      <c r="G2" s="158"/>
      <c r="H2" s="1"/>
      <c r="I2" s="1"/>
    </row>
    <row r="3" spans="2:9" ht="15.75" thickBot="1" x14ac:dyDescent="0.3">
      <c r="B3" s="1"/>
      <c r="C3" s="1"/>
      <c r="D3" s="1"/>
      <c r="E3" s="1"/>
      <c r="F3" s="1"/>
      <c r="G3" s="1"/>
      <c r="H3" s="1"/>
      <c r="I3" s="1"/>
    </row>
    <row r="4" spans="2:9" ht="30.75" thickBot="1" x14ac:dyDescent="0.3">
      <c r="B4" s="13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7" t="s">
        <v>6</v>
      </c>
      <c r="H4" s="94"/>
      <c r="I4" s="94"/>
    </row>
    <row r="5" spans="2:9" ht="17.25" thickBot="1" x14ac:dyDescent="0.3">
      <c r="B5" s="24" t="s">
        <v>7</v>
      </c>
      <c r="C5" s="159" t="s">
        <v>275</v>
      </c>
      <c r="D5" s="159"/>
      <c r="E5" s="159"/>
      <c r="F5" s="159"/>
      <c r="G5" s="160"/>
      <c r="H5" s="94"/>
      <c r="I5" s="94"/>
    </row>
    <row r="6" spans="2:9" ht="17.25" x14ac:dyDescent="0.25">
      <c r="B6" s="25">
        <v>1</v>
      </c>
      <c r="C6" s="26" t="s">
        <v>9</v>
      </c>
      <c r="D6" s="27" t="s">
        <v>10</v>
      </c>
      <c r="E6" s="28" t="s">
        <v>11</v>
      </c>
      <c r="F6" s="92">
        <f>((F7*F8)/F16)*F12*F13*(F14/F15)</f>
        <v>7.8177698756499092</v>
      </c>
      <c r="G6" s="29" t="s">
        <v>238</v>
      </c>
      <c r="H6" s="94"/>
      <c r="I6" s="94"/>
    </row>
    <row r="7" spans="2:9" x14ac:dyDescent="0.25">
      <c r="B7" s="30" t="s">
        <v>13</v>
      </c>
      <c r="C7" s="16" t="s">
        <v>14</v>
      </c>
      <c r="D7" s="15">
        <v>12</v>
      </c>
      <c r="E7" s="31" t="s">
        <v>15</v>
      </c>
      <c r="F7" s="32">
        <v>7</v>
      </c>
      <c r="G7" s="33"/>
      <c r="H7" s="94"/>
      <c r="I7" s="94"/>
    </row>
    <row r="8" spans="2:9" x14ac:dyDescent="0.25">
      <c r="B8" s="34" t="s">
        <v>20</v>
      </c>
      <c r="C8" s="16" t="s">
        <v>274</v>
      </c>
      <c r="D8" s="15" t="s">
        <v>206</v>
      </c>
      <c r="E8" s="31" t="s">
        <v>21</v>
      </c>
      <c r="F8" s="17">
        <f>F9*F10*F11</f>
        <v>79108.5</v>
      </c>
      <c r="G8" s="33" t="s">
        <v>286</v>
      </c>
      <c r="H8" s="94"/>
      <c r="I8" s="94"/>
    </row>
    <row r="9" spans="2:9" ht="30" x14ac:dyDescent="0.25">
      <c r="B9" s="35" t="s">
        <v>22</v>
      </c>
      <c r="C9" s="16" t="s">
        <v>23</v>
      </c>
      <c r="D9" s="15" t="s">
        <v>24</v>
      </c>
      <c r="E9" s="31" t="s">
        <v>21</v>
      </c>
      <c r="F9" s="87">
        <v>68790</v>
      </c>
      <c r="G9" s="88" t="s">
        <v>397</v>
      </c>
      <c r="H9" s="94"/>
      <c r="I9" s="94"/>
    </row>
    <row r="10" spans="2:9" ht="30" x14ac:dyDescent="0.25">
      <c r="B10" s="30" t="s">
        <v>25</v>
      </c>
      <c r="C10" s="37" t="s">
        <v>26</v>
      </c>
      <c r="D10" s="38" t="s">
        <v>27</v>
      </c>
      <c r="E10" s="31" t="s">
        <v>12</v>
      </c>
      <c r="F10" s="39">
        <v>1.1499999999999999</v>
      </c>
      <c r="G10" s="33" t="s">
        <v>271</v>
      </c>
      <c r="H10" s="94"/>
      <c r="I10" s="94"/>
    </row>
    <row r="11" spans="2:9" ht="30" x14ac:dyDescent="0.25">
      <c r="B11" s="30" t="s">
        <v>28</v>
      </c>
      <c r="C11" s="37" t="s">
        <v>29</v>
      </c>
      <c r="D11" s="38" t="s">
        <v>30</v>
      </c>
      <c r="E11" s="31" t="s">
        <v>12</v>
      </c>
      <c r="F11" s="39">
        <v>1</v>
      </c>
      <c r="G11" s="33" t="s">
        <v>31</v>
      </c>
      <c r="H11" s="94"/>
      <c r="I11" s="94"/>
    </row>
    <row r="12" spans="2:9" x14ac:dyDescent="0.25">
      <c r="B12" s="30" t="s">
        <v>32</v>
      </c>
      <c r="C12" s="16" t="s">
        <v>33</v>
      </c>
      <c r="D12" s="15" t="s">
        <v>34</v>
      </c>
      <c r="E12" s="31" t="s">
        <v>8</v>
      </c>
      <c r="F12" s="122">
        <v>264</v>
      </c>
      <c r="G12" s="88" t="s">
        <v>390</v>
      </c>
      <c r="H12" s="94"/>
      <c r="I12" s="94"/>
    </row>
    <row r="13" spans="2:9" ht="44.45" customHeight="1" x14ac:dyDescent="0.25">
      <c r="B13" s="30" t="s">
        <v>35</v>
      </c>
      <c r="C13" s="40" t="s">
        <v>272</v>
      </c>
      <c r="D13" s="15" t="s">
        <v>36</v>
      </c>
      <c r="E13" s="31" t="s">
        <v>182</v>
      </c>
      <c r="F13" s="39">
        <v>1.06</v>
      </c>
      <c r="G13" s="33" t="s">
        <v>355</v>
      </c>
      <c r="H13" s="94"/>
      <c r="I13" s="94"/>
    </row>
    <row r="14" spans="2:9" ht="17.25" x14ac:dyDescent="0.25">
      <c r="B14" s="30" t="s">
        <v>37</v>
      </c>
      <c r="C14" s="16" t="s">
        <v>38</v>
      </c>
      <c r="D14" s="15" t="s">
        <v>39</v>
      </c>
      <c r="E14" s="15" t="s">
        <v>182</v>
      </c>
      <c r="F14" s="104">
        <v>1.0469999999999999</v>
      </c>
      <c r="G14" s="33" t="str">
        <f>'121'!G14</f>
        <v>Индекс потребительский цен из прогноза Минэкономразвития РФ</v>
      </c>
      <c r="H14" s="94"/>
      <c r="I14" s="94"/>
    </row>
    <row r="15" spans="2:9" x14ac:dyDescent="0.25">
      <c r="B15" s="34" t="s">
        <v>41</v>
      </c>
      <c r="C15" s="16" t="s">
        <v>18</v>
      </c>
      <c r="D15" s="15" t="s">
        <v>17</v>
      </c>
      <c r="E15" s="31" t="s">
        <v>19</v>
      </c>
      <c r="F15" s="122">
        <v>11712</v>
      </c>
      <c r="G15" s="88" t="s">
        <v>390</v>
      </c>
      <c r="H15" s="94"/>
      <c r="I15" s="94"/>
    </row>
    <row r="16" spans="2:9" ht="15.75" thickBot="1" x14ac:dyDescent="0.3">
      <c r="B16" s="41" t="s">
        <v>42</v>
      </c>
      <c r="C16" s="42" t="s">
        <v>241</v>
      </c>
      <c r="D16" s="43" t="s">
        <v>207</v>
      </c>
      <c r="E16" s="52" t="s">
        <v>8</v>
      </c>
      <c r="F16" s="44">
        <v>1772</v>
      </c>
      <c r="G16" s="45" t="s">
        <v>362</v>
      </c>
      <c r="H16" s="94"/>
      <c r="I16" s="94"/>
    </row>
    <row r="17" spans="2:9" ht="17.25" thickBot="1" x14ac:dyDescent="0.3">
      <c r="B17" s="46" t="s">
        <v>45</v>
      </c>
      <c r="C17" s="161" t="s">
        <v>276</v>
      </c>
      <c r="D17" s="162"/>
      <c r="E17" s="162"/>
      <c r="F17" s="162"/>
      <c r="G17" s="163"/>
      <c r="H17" s="94"/>
      <c r="I17" s="94"/>
    </row>
    <row r="18" spans="2:9" ht="60" x14ac:dyDescent="0.25">
      <c r="B18" s="25">
        <v>2</v>
      </c>
      <c r="C18" s="47" t="s">
        <v>46</v>
      </c>
      <c r="D18" s="27" t="s">
        <v>208</v>
      </c>
      <c r="E18" s="28" t="s">
        <v>11</v>
      </c>
      <c r="F18" s="115">
        <f>F6*F19</f>
        <v>0</v>
      </c>
      <c r="G18" s="116" t="s">
        <v>307</v>
      </c>
      <c r="H18" s="117" t="s">
        <v>309</v>
      </c>
      <c r="I18" s="94"/>
    </row>
    <row r="19" spans="2:9" ht="87" customHeight="1" thickBot="1" x14ac:dyDescent="0.3">
      <c r="B19" s="48" t="s">
        <v>308</v>
      </c>
      <c r="C19" s="16" t="s">
        <v>273</v>
      </c>
      <c r="D19" s="15" t="s">
        <v>243</v>
      </c>
      <c r="E19" s="31" t="s">
        <v>182</v>
      </c>
      <c r="F19" s="83">
        <v>0</v>
      </c>
      <c r="G19" s="88" t="s">
        <v>242</v>
      </c>
      <c r="H19" s="94"/>
      <c r="I19" s="94"/>
    </row>
    <row r="20" spans="2:9" ht="16.5" x14ac:dyDescent="0.25">
      <c r="B20" s="49" t="s">
        <v>48</v>
      </c>
      <c r="C20" s="155" t="s">
        <v>277</v>
      </c>
      <c r="D20" s="156"/>
      <c r="E20" s="156"/>
      <c r="F20" s="156"/>
      <c r="G20" s="157"/>
      <c r="H20" s="94"/>
      <c r="I20" s="94"/>
    </row>
    <row r="21" spans="2:9" x14ac:dyDescent="0.25">
      <c r="B21" s="18">
        <v>3</v>
      </c>
      <c r="C21" s="16" t="s">
        <v>49</v>
      </c>
      <c r="D21" s="15" t="s">
        <v>50</v>
      </c>
      <c r="E21" s="31" t="s">
        <v>11</v>
      </c>
      <c r="F21" s="50">
        <f>SUM(F22+F23)*(F24/100)</f>
        <v>2.3609665024462725</v>
      </c>
      <c r="G21" s="19" t="s">
        <v>244</v>
      </c>
      <c r="H21" s="94"/>
      <c r="I21" s="94"/>
    </row>
    <row r="22" spans="2:9" ht="17.25" x14ac:dyDescent="0.25">
      <c r="B22" s="18" t="s">
        <v>51</v>
      </c>
      <c r="C22" s="16" t="s">
        <v>52</v>
      </c>
      <c r="D22" s="15" t="s">
        <v>10</v>
      </c>
      <c r="E22" s="31" t="s">
        <v>11</v>
      </c>
      <c r="F22" s="109">
        <f>SUM(F6)</f>
        <v>7.8177698756499092</v>
      </c>
      <c r="G22" s="51"/>
      <c r="H22" s="94"/>
      <c r="I22" s="94"/>
    </row>
    <row r="23" spans="2:9" ht="17.25" x14ac:dyDescent="0.25">
      <c r="B23" s="18" t="s">
        <v>53</v>
      </c>
      <c r="C23" s="16" t="s">
        <v>46</v>
      </c>
      <c r="D23" s="15" t="s">
        <v>47</v>
      </c>
      <c r="E23" s="31" t="s">
        <v>11</v>
      </c>
      <c r="F23" s="39">
        <f>SUM(F18)</f>
        <v>0</v>
      </c>
      <c r="G23" s="51"/>
      <c r="H23" s="94"/>
      <c r="I23" s="94"/>
    </row>
    <row r="24" spans="2:9" ht="15.75" thickBot="1" x14ac:dyDescent="0.3">
      <c r="B24" s="41" t="s">
        <v>54</v>
      </c>
      <c r="C24" s="42" t="s">
        <v>280</v>
      </c>
      <c r="D24" s="43" t="s">
        <v>56</v>
      </c>
      <c r="E24" s="52" t="s">
        <v>57</v>
      </c>
      <c r="F24" s="53">
        <v>30.2</v>
      </c>
      <c r="G24" s="54" t="s">
        <v>58</v>
      </c>
      <c r="H24" s="94"/>
      <c r="I24" s="94"/>
    </row>
    <row r="25" spans="2:9" ht="16.5" x14ac:dyDescent="0.25">
      <c r="B25" s="55" t="s">
        <v>59</v>
      </c>
      <c r="C25" s="164" t="s">
        <v>278</v>
      </c>
      <c r="D25" s="165"/>
      <c r="E25" s="165"/>
      <c r="F25" s="165"/>
      <c r="G25" s="166"/>
      <c r="H25" s="94"/>
      <c r="I25" s="94"/>
    </row>
    <row r="26" spans="2:9" ht="17.25" x14ac:dyDescent="0.25">
      <c r="B26" s="18">
        <v>4</v>
      </c>
      <c r="C26" s="56" t="s">
        <v>60</v>
      </c>
      <c r="D26" s="57" t="s">
        <v>61</v>
      </c>
      <c r="E26" s="58" t="s">
        <v>11</v>
      </c>
      <c r="F26" s="59">
        <f>F27*((F28/100)*(1+0.01*F29)+((F30/F31)*(F32/12)))*F33</f>
        <v>11.640024</v>
      </c>
      <c r="G26" s="60" t="s">
        <v>245</v>
      </c>
      <c r="H26" s="94"/>
      <c r="I26" s="94"/>
    </row>
    <row r="27" spans="2:9" x14ac:dyDescent="0.25">
      <c r="B27" s="61" t="s">
        <v>62</v>
      </c>
      <c r="C27" s="16" t="s">
        <v>63</v>
      </c>
      <c r="D27" s="15" t="s">
        <v>64</v>
      </c>
      <c r="E27" s="31" t="s">
        <v>21</v>
      </c>
      <c r="F27" s="87">
        <v>72</v>
      </c>
      <c r="G27" s="85" t="s">
        <v>363</v>
      </c>
      <c r="H27" s="94"/>
      <c r="I27" s="94"/>
    </row>
    <row r="28" spans="2:9" ht="99.95" customHeight="1" x14ac:dyDescent="0.25">
      <c r="B28" s="61" t="s">
        <v>65</v>
      </c>
      <c r="C28" s="16" t="s">
        <v>279</v>
      </c>
      <c r="D28" s="15" t="s">
        <v>246</v>
      </c>
      <c r="E28" s="31" t="s">
        <v>66</v>
      </c>
      <c r="F28" s="91">
        <v>14.2</v>
      </c>
      <c r="G28" s="85" t="s">
        <v>387</v>
      </c>
      <c r="H28" s="94"/>
      <c r="I28" s="94"/>
    </row>
    <row r="29" spans="2:9" ht="108" customHeight="1" x14ac:dyDescent="0.25">
      <c r="B29" s="61" t="s">
        <v>67</v>
      </c>
      <c r="C29" s="16" t="s">
        <v>68</v>
      </c>
      <c r="D29" s="15" t="s">
        <v>69</v>
      </c>
      <c r="E29" s="31" t="s">
        <v>57</v>
      </c>
      <c r="F29" s="36">
        <v>10</v>
      </c>
      <c r="G29" s="19" t="s">
        <v>70</v>
      </c>
      <c r="H29" s="94"/>
      <c r="I29" s="94"/>
    </row>
    <row r="30" spans="2:9" ht="45" x14ac:dyDescent="0.25">
      <c r="B30" s="61" t="s">
        <v>71</v>
      </c>
      <c r="C30" s="16" t="s">
        <v>72</v>
      </c>
      <c r="D30" s="62" t="s">
        <v>247</v>
      </c>
      <c r="E30" s="31" t="s">
        <v>73</v>
      </c>
      <c r="F30" s="105">
        <v>0</v>
      </c>
      <c r="G30" s="19" t="s">
        <v>380</v>
      </c>
      <c r="H30" s="94"/>
      <c r="I30" s="94"/>
    </row>
    <row r="31" spans="2:9" x14ac:dyDescent="0.25">
      <c r="B31" s="61" t="s">
        <v>74</v>
      </c>
      <c r="C31" s="16" t="s">
        <v>75</v>
      </c>
      <c r="D31" s="62" t="s">
        <v>76</v>
      </c>
      <c r="E31" s="31" t="s">
        <v>77</v>
      </c>
      <c r="F31" s="106">
        <v>70</v>
      </c>
      <c r="G31" s="88"/>
      <c r="H31" s="94"/>
      <c r="I31" s="94"/>
    </row>
    <row r="32" spans="2:9" ht="30" x14ac:dyDescent="0.25">
      <c r="B32" s="61" t="s">
        <v>78</v>
      </c>
      <c r="C32" s="16" t="s">
        <v>79</v>
      </c>
      <c r="D32" s="62" t="s">
        <v>80</v>
      </c>
      <c r="E32" s="31" t="s">
        <v>220</v>
      </c>
      <c r="F32" s="107">
        <v>4</v>
      </c>
      <c r="G32" s="88" t="s">
        <v>391</v>
      </c>
      <c r="H32" s="94"/>
      <c r="I32" s="94"/>
    </row>
    <row r="33" spans="2:9" ht="30" x14ac:dyDescent="0.25">
      <c r="B33" s="61" t="s">
        <v>81</v>
      </c>
      <c r="C33" s="16" t="s">
        <v>82</v>
      </c>
      <c r="D33" s="15" t="s">
        <v>83</v>
      </c>
      <c r="E33" s="15" t="s">
        <v>182</v>
      </c>
      <c r="F33" s="104">
        <f>'121'!F33</f>
        <v>1.0349999999999999</v>
      </c>
      <c r="G33" s="63" t="s">
        <v>218</v>
      </c>
      <c r="H33" s="94"/>
      <c r="I33" s="94"/>
    </row>
    <row r="34" spans="2:9" ht="16.5" x14ac:dyDescent="0.25">
      <c r="B34" s="18" t="s">
        <v>84</v>
      </c>
      <c r="C34" s="167" t="s">
        <v>281</v>
      </c>
      <c r="D34" s="168"/>
      <c r="E34" s="168"/>
      <c r="F34" s="168"/>
      <c r="G34" s="169"/>
      <c r="H34" s="94"/>
      <c r="I34" s="94"/>
    </row>
    <row r="35" spans="2:9" ht="17.25" x14ac:dyDescent="0.25">
      <c r="B35" s="18">
        <v>5</v>
      </c>
      <c r="C35" s="16" t="s">
        <v>85</v>
      </c>
      <c r="D35" s="15" t="s">
        <v>86</v>
      </c>
      <c r="E35" s="58" t="s">
        <v>11</v>
      </c>
      <c r="F35" s="64">
        <f>0.075*F36</f>
        <v>0.87300180000000005</v>
      </c>
      <c r="G35" s="19" t="s">
        <v>248</v>
      </c>
      <c r="H35" s="94"/>
      <c r="I35" s="94"/>
    </row>
    <row r="36" spans="2:9" ht="17.25" x14ac:dyDescent="0.25">
      <c r="B36" s="18" t="s">
        <v>87</v>
      </c>
      <c r="C36" s="56" t="s">
        <v>60</v>
      </c>
      <c r="D36" s="57" t="s">
        <v>61</v>
      </c>
      <c r="E36" s="58" t="s">
        <v>11</v>
      </c>
      <c r="F36" s="65">
        <f>SUM(F26)</f>
        <v>11.640024</v>
      </c>
      <c r="G36" s="51" t="s">
        <v>88</v>
      </c>
      <c r="H36" s="94"/>
      <c r="I36" s="94"/>
    </row>
    <row r="37" spans="2:9" ht="16.5" x14ac:dyDescent="0.25">
      <c r="B37" s="18" t="s">
        <v>89</v>
      </c>
      <c r="C37" s="167" t="s">
        <v>282</v>
      </c>
      <c r="D37" s="168"/>
      <c r="E37" s="168"/>
      <c r="F37" s="168"/>
      <c r="G37" s="169"/>
      <c r="H37" s="94"/>
      <c r="I37" s="94"/>
    </row>
    <row r="38" spans="2:9" ht="17.25" x14ac:dyDescent="0.25">
      <c r="B38" s="18">
        <v>6</v>
      </c>
      <c r="C38" s="16" t="s">
        <v>90</v>
      </c>
      <c r="D38" s="15" t="s">
        <v>91</v>
      </c>
      <c r="E38" s="31" t="s">
        <v>11</v>
      </c>
      <c r="F38" s="64">
        <f>F39*F40</f>
        <v>0.29288000000000003</v>
      </c>
      <c r="G38" s="19" t="s">
        <v>249</v>
      </c>
      <c r="H38" s="94"/>
      <c r="I38" s="94"/>
    </row>
    <row r="39" spans="2:9" ht="75" x14ac:dyDescent="0.25">
      <c r="B39" s="18" t="s">
        <v>92</v>
      </c>
      <c r="C39" s="16" t="s">
        <v>93</v>
      </c>
      <c r="D39" s="15" t="s">
        <v>94</v>
      </c>
      <c r="E39" s="31" t="s">
        <v>16</v>
      </c>
      <c r="F39" s="39">
        <v>0.28000000000000003</v>
      </c>
      <c r="G39" s="19" t="s">
        <v>311</v>
      </c>
      <c r="H39" s="94"/>
      <c r="I39" s="94"/>
    </row>
    <row r="40" spans="2:9" ht="45" x14ac:dyDescent="0.25">
      <c r="B40" s="18" t="s">
        <v>95</v>
      </c>
      <c r="C40" s="16" t="s">
        <v>96</v>
      </c>
      <c r="D40" s="15" t="s">
        <v>97</v>
      </c>
      <c r="E40" s="15" t="s">
        <v>16</v>
      </c>
      <c r="F40" s="104">
        <v>1.046</v>
      </c>
      <c r="G40" s="19" t="s">
        <v>98</v>
      </c>
      <c r="H40" s="94"/>
      <c r="I40" s="94"/>
    </row>
    <row r="41" spans="2:9" ht="16.5" x14ac:dyDescent="0.25">
      <c r="B41" s="18" t="s">
        <v>99</v>
      </c>
      <c r="C41" s="151" t="s">
        <v>283</v>
      </c>
      <c r="D41" s="152"/>
      <c r="E41" s="152"/>
      <c r="F41" s="152"/>
      <c r="G41" s="153"/>
      <c r="H41" s="94"/>
      <c r="I41" s="94"/>
    </row>
    <row r="42" spans="2:9" ht="17.25" x14ac:dyDescent="0.25">
      <c r="B42" s="18" t="s">
        <v>100</v>
      </c>
      <c r="C42" s="16" t="s">
        <v>101</v>
      </c>
      <c r="D42" s="15" t="s">
        <v>102</v>
      </c>
      <c r="E42" s="31" t="s">
        <v>11</v>
      </c>
      <c r="F42" s="64">
        <f>F43+F57</f>
        <v>10.186279401091392</v>
      </c>
      <c r="G42" s="19" t="s">
        <v>250</v>
      </c>
      <c r="H42" s="94"/>
      <c r="I42" s="94"/>
    </row>
    <row r="43" spans="2:9" ht="30" x14ac:dyDescent="0.25">
      <c r="B43" s="18" t="s">
        <v>103</v>
      </c>
      <c r="C43" s="16" t="s">
        <v>104</v>
      </c>
      <c r="D43" s="15" t="s">
        <v>105</v>
      </c>
      <c r="E43" s="31" t="s">
        <v>11</v>
      </c>
      <c r="F43" s="39">
        <f>(F45*(F48/F55))*F47*((F52/F46)+(F53*F54))*F44*(1+(F56/100))</f>
        <v>6.0022794010913918</v>
      </c>
      <c r="G43" s="19" t="s">
        <v>251</v>
      </c>
      <c r="H43" s="94"/>
      <c r="I43" s="94"/>
    </row>
    <row r="44" spans="2:9" ht="30" x14ac:dyDescent="0.25">
      <c r="B44" s="18" t="s">
        <v>106</v>
      </c>
      <c r="C44" s="66" t="s">
        <v>107</v>
      </c>
      <c r="D44" s="18">
        <v>1E-3</v>
      </c>
      <c r="E44" s="18" t="s">
        <v>16</v>
      </c>
      <c r="F44" s="18">
        <v>1E-3</v>
      </c>
      <c r="G44" s="67"/>
      <c r="H44" s="94"/>
      <c r="I44" s="94"/>
    </row>
    <row r="45" spans="2:9" x14ac:dyDescent="0.25">
      <c r="B45" s="18" t="s">
        <v>108</v>
      </c>
      <c r="C45" s="16" t="s">
        <v>14</v>
      </c>
      <c r="D45" s="15">
        <v>12</v>
      </c>
      <c r="E45" s="31" t="s">
        <v>15</v>
      </c>
      <c r="F45" s="32">
        <v>7</v>
      </c>
      <c r="G45" s="67"/>
      <c r="H45" s="94"/>
      <c r="I45" s="94"/>
    </row>
    <row r="46" spans="2:9" ht="30" x14ac:dyDescent="0.25">
      <c r="B46" s="18" t="s">
        <v>109</v>
      </c>
      <c r="C46" s="16" t="s">
        <v>253</v>
      </c>
      <c r="D46" s="15" t="s">
        <v>252</v>
      </c>
      <c r="E46" s="31" t="s">
        <v>182</v>
      </c>
      <c r="F46" s="39">
        <v>0.9</v>
      </c>
      <c r="G46" s="108" t="s">
        <v>254</v>
      </c>
      <c r="H46" s="94"/>
      <c r="I46" s="94"/>
    </row>
    <row r="47" spans="2:9" ht="17.25" x14ac:dyDescent="0.25">
      <c r="B47" s="30" t="s">
        <v>110</v>
      </c>
      <c r="C47" s="16" t="s">
        <v>38</v>
      </c>
      <c r="D47" s="15" t="s">
        <v>39</v>
      </c>
      <c r="E47" s="15" t="s">
        <v>182</v>
      </c>
      <c r="F47" s="104">
        <v>1.0469999999999999</v>
      </c>
      <c r="G47" s="33" t="str">
        <f>'121'!G47</f>
        <v>Индекс потребительский цен из прогноза Минэкономразвития РФ</v>
      </c>
      <c r="H47" s="94"/>
      <c r="I47" s="94"/>
    </row>
    <row r="48" spans="2:9" ht="16.5" x14ac:dyDescent="0.25">
      <c r="B48" s="19" t="s">
        <v>111</v>
      </c>
      <c r="C48" s="66" t="s">
        <v>257</v>
      </c>
      <c r="D48" s="15" t="s">
        <v>112</v>
      </c>
      <c r="E48" s="31" t="s">
        <v>21</v>
      </c>
      <c r="F48" s="17">
        <f>F49*F50*F51</f>
        <v>68790</v>
      </c>
      <c r="G48" s="19" t="s">
        <v>113</v>
      </c>
      <c r="H48" s="94"/>
      <c r="I48" s="94"/>
    </row>
    <row r="49" spans="2:9" ht="55.5" customHeight="1" x14ac:dyDescent="0.25">
      <c r="B49" s="18" t="s">
        <v>114</v>
      </c>
      <c r="C49" s="16" t="s">
        <v>115</v>
      </c>
      <c r="D49" s="15" t="s">
        <v>24</v>
      </c>
      <c r="E49" s="31" t="s">
        <v>21</v>
      </c>
      <c r="F49" s="36">
        <f>F9</f>
        <v>68790</v>
      </c>
      <c r="G49" s="33" t="str">
        <f>'121'!G9</f>
        <v xml:space="preserve">согласно фактическим данным предриятий за 2024г. </v>
      </c>
      <c r="H49" s="94"/>
      <c r="I49" s="94"/>
    </row>
    <row r="50" spans="2:9" ht="35.1" customHeight="1" x14ac:dyDescent="0.25">
      <c r="B50" s="18" t="s">
        <v>116</v>
      </c>
      <c r="C50" s="66" t="s">
        <v>284</v>
      </c>
      <c r="D50" s="15" t="s">
        <v>217</v>
      </c>
      <c r="E50" s="15" t="s">
        <v>182</v>
      </c>
      <c r="F50" s="39">
        <v>1</v>
      </c>
      <c r="G50" s="19"/>
      <c r="H50" s="94"/>
      <c r="I50" s="94"/>
    </row>
    <row r="51" spans="2:9" ht="28.5" customHeight="1" x14ac:dyDescent="0.25">
      <c r="B51" s="18" t="s">
        <v>117</v>
      </c>
      <c r="C51" s="68" t="s">
        <v>29</v>
      </c>
      <c r="D51" s="38" t="s">
        <v>30</v>
      </c>
      <c r="E51" s="31" t="s">
        <v>12</v>
      </c>
      <c r="F51" s="39">
        <v>1</v>
      </c>
      <c r="G51" s="33" t="s">
        <v>31</v>
      </c>
      <c r="H51" s="94"/>
      <c r="I51" s="94"/>
    </row>
    <row r="52" spans="2:9" ht="62.45" customHeight="1" x14ac:dyDescent="0.25">
      <c r="B52" s="18" t="s">
        <v>118</v>
      </c>
      <c r="C52" s="16" t="s">
        <v>119</v>
      </c>
      <c r="D52" s="15" t="s">
        <v>120</v>
      </c>
      <c r="E52" s="15" t="s">
        <v>16</v>
      </c>
      <c r="F52" s="39">
        <v>8</v>
      </c>
      <c r="G52" s="19" t="s">
        <v>317</v>
      </c>
      <c r="H52" s="94"/>
      <c r="I52" s="94"/>
    </row>
    <row r="53" spans="2:9" ht="60.95" customHeight="1" x14ac:dyDescent="0.25">
      <c r="B53" s="18" t="s">
        <v>122</v>
      </c>
      <c r="C53" s="16" t="s">
        <v>123</v>
      </c>
      <c r="D53" s="15" t="s">
        <v>124</v>
      </c>
      <c r="E53" s="15" t="s">
        <v>16</v>
      </c>
      <c r="F53" s="18">
        <v>6.4</v>
      </c>
      <c r="G53" s="19" t="s">
        <v>316</v>
      </c>
      <c r="H53" s="94"/>
      <c r="I53" s="94"/>
    </row>
    <row r="54" spans="2:9" ht="32.1" customHeight="1" x14ac:dyDescent="0.25">
      <c r="B54" s="18" t="s">
        <v>125</v>
      </c>
      <c r="C54" s="16" t="s">
        <v>256</v>
      </c>
      <c r="D54" s="20" t="s">
        <v>255</v>
      </c>
      <c r="E54" s="15" t="s">
        <v>16</v>
      </c>
      <c r="F54" s="39">
        <f>SUM('КЗп, КЗ, КЗЧ'!C4)</f>
        <v>1.2</v>
      </c>
      <c r="G54" s="19" t="s">
        <v>254</v>
      </c>
      <c r="H54" s="94"/>
      <c r="I54" s="94"/>
    </row>
    <row r="55" spans="2:9" ht="23.45" customHeight="1" x14ac:dyDescent="0.25">
      <c r="B55" s="18" t="s">
        <v>126</v>
      </c>
      <c r="C55" s="16" t="s">
        <v>43</v>
      </c>
      <c r="D55" s="15" t="s">
        <v>44</v>
      </c>
      <c r="E55" s="15" t="s">
        <v>8</v>
      </c>
      <c r="F55" s="12">
        <v>1812</v>
      </c>
      <c r="G55" s="19"/>
      <c r="H55" s="94"/>
      <c r="I55" s="94"/>
    </row>
    <row r="56" spans="2:9" x14ac:dyDescent="0.25">
      <c r="B56" s="18" t="s">
        <v>127</v>
      </c>
      <c r="C56" s="16" t="s">
        <v>55</v>
      </c>
      <c r="D56" s="15" t="s">
        <v>56</v>
      </c>
      <c r="E56" s="31" t="s">
        <v>57</v>
      </c>
      <c r="F56" s="69">
        <v>30.2</v>
      </c>
      <c r="G56" s="19" t="s">
        <v>58</v>
      </c>
      <c r="H56" s="94"/>
      <c r="I56" s="94"/>
    </row>
    <row r="57" spans="2:9" ht="24.95" customHeight="1" x14ac:dyDescent="0.25">
      <c r="B57" s="18" t="s">
        <v>128</v>
      </c>
      <c r="C57" s="16" t="s">
        <v>129</v>
      </c>
      <c r="D57" s="15" t="s">
        <v>130</v>
      </c>
      <c r="E57" s="31" t="s">
        <v>11</v>
      </c>
      <c r="F57" s="39">
        <f>F58*F59*F60</f>
        <v>4.1840000000000002</v>
      </c>
      <c r="G57" s="19" t="s">
        <v>259</v>
      </c>
      <c r="H57" s="94"/>
      <c r="I57" s="94"/>
    </row>
    <row r="58" spans="2:9" ht="59.45" customHeight="1" x14ac:dyDescent="0.25">
      <c r="B58" s="18" t="s">
        <v>131</v>
      </c>
      <c r="C58" s="16" t="s">
        <v>132</v>
      </c>
      <c r="D58" s="15" t="s">
        <v>133</v>
      </c>
      <c r="E58" s="15" t="s">
        <v>182</v>
      </c>
      <c r="F58" s="39">
        <v>3.2</v>
      </c>
      <c r="G58" s="19" t="s">
        <v>313</v>
      </c>
      <c r="H58" s="94"/>
      <c r="I58" s="94"/>
    </row>
    <row r="59" spans="2:9" ht="30" x14ac:dyDescent="0.25">
      <c r="B59" s="18" t="s">
        <v>134</v>
      </c>
      <c r="C59" s="16" t="s">
        <v>258</v>
      </c>
      <c r="D59" s="15" t="s">
        <v>135</v>
      </c>
      <c r="E59" s="15" t="s">
        <v>182</v>
      </c>
      <c r="F59" s="39">
        <f>SUM('КЗп, КЗ, КЗЧ'!D4)</f>
        <v>1.25</v>
      </c>
      <c r="G59" s="19" t="s">
        <v>145</v>
      </c>
      <c r="H59" s="94"/>
      <c r="I59" s="94"/>
    </row>
    <row r="60" spans="2:9" ht="49.5" customHeight="1" x14ac:dyDescent="0.25">
      <c r="B60" s="18" t="s">
        <v>134</v>
      </c>
      <c r="C60" s="16" t="s">
        <v>96</v>
      </c>
      <c r="D60" s="15" t="s">
        <v>97</v>
      </c>
      <c r="E60" s="15" t="s">
        <v>16</v>
      </c>
      <c r="F60" s="89">
        <f>F40</f>
        <v>1.046</v>
      </c>
      <c r="G60" s="85" t="s">
        <v>136</v>
      </c>
      <c r="H60" s="94"/>
      <c r="I60" s="94"/>
    </row>
    <row r="61" spans="2:9" ht="16.5" x14ac:dyDescent="0.25">
      <c r="B61" s="70" t="s">
        <v>137</v>
      </c>
      <c r="C61" s="170" t="s">
        <v>138</v>
      </c>
      <c r="D61" s="171"/>
      <c r="E61" s="171"/>
      <c r="F61" s="171"/>
      <c r="G61" s="171"/>
      <c r="H61" s="94"/>
      <c r="I61" s="94"/>
    </row>
    <row r="62" spans="2:9" ht="30" x14ac:dyDescent="0.25">
      <c r="B62" s="18">
        <v>8</v>
      </c>
      <c r="C62" s="63" t="s">
        <v>139</v>
      </c>
      <c r="D62" s="71" t="s">
        <v>140</v>
      </c>
      <c r="E62" s="72" t="s">
        <v>11</v>
      </c>
      <c r="F62" s="50">
        <f>F63*(F64+F65+F66+F67)</f>
        <v>17.359099826824004</v>
      </c>
      <c r="G62" s="19" t="s">
        <v>260</v>
      </c>
      <c r="H62" s="94"/>
      <c r="I62" s="94"/>
    </row>
    <row r="63" spans="2:9" ht="30" x14ac:dyDescent="0.25">
      <c r="B63" s="18" t="s">
        <v>141</v>
      </c>
      <c r="C63" s="37" t="s">
        <v>142</v>
      </c>
      <c r="D63" s="73" t="s">
        <v>143</v>
      </c>
      <c r="E63" s="74" t="s">
        <v>144</v>
      </c>
      <c r="F63" s="18">
        <v>0.755</v>
      </c>
      <c r="G63" s="19" t="s">
        <v>360</v>
      </c>
      <c r="H63" s="94"/>
      <c r="I63" s="94"/>
    </row>
    <row r="64" spans="2:9" ht="17.25" x14ac:dyDescent="0.25">
      <c r="B64" s="18" t="s">
        <v>146</v>
      </c>
      <c r="C64" s="56" t="s">
        <v>60</v>
      </c>
      <c r="D64" s="57" t="s">
        <v>61</v>
      </c>
      <c r="E64" s="58" t="s">
        <v>11</v>
      </c>
      <c r="F64" s="75">
        <f>F36</f>
        <v>11.640024</v>
      </c>
      <c r="G64" s="76"/>
      <c r="H64" s="94"/>
      <c r="I64" s="94"/>
    </row>
    <row r="65" spans="2:9" ht="17.25" x14ac:dyDescent="0.25">
      <c r="B65" s="18" t="s">
        <v>147</v>
      </c>
      <c r="C65" s="16" t="s">
        <v>85</v>
      </c>
      <c r="D65" s="15" t="s">
        <v>86</v>
      </c>
      <c r="E65" s="58" t="s">
        <v>11</v>
      </c>
      <c r="F65" s="77">
        <f>F35</f>
        <v>0.87300180000000005</v>
      </c>
      <c r="G65" s="78"/>
      <c r="H65" s="94"/>
      <c r="I65" s="94"/>
    </row>
    <row r="66" spans="2:9" ht="17.25" x14ac:dyDescent="0.25">
      <c r="B66" s="21" t="s">
        <v>148</v>
      </c>
      <c r="C66" s="16" t="s">
        <v>90</v>
      </c>
      <c r="D66" s="15" t="s">
        <v>91</v>
      </c>
      <c r="E66" s="31" t="s">
        <v>11</v>
      </c>
      <c r="F66" s="77">
        <f>F38</f>
        <v>0.29288000000000003</v>
      </c>
      <c r="G66" s="78"/>
      <c r="H66" s="94"/>
      <c r="I66" s="94"/>
    </row>
    <row r="67" spans="2:9" ht="17.25" x14ac:dyDescent="0.25">
      <c r="B67" s="21" t="s">
        <v>149</v>
      </c>
      <c r="C67" s="16" t="s">
        <v>101</v>
      </c>
      <c r="D67" s="15" t="s">
        <v>102</v>
      </c>
      <c r="E67" s="31" t="s">
        <v>11</v>
      </c>
      <c r="F67" s="77">
        <f>F42</f>
        <v>10.186279401091392</v>
      </c>
      <c r="G67" s="78"/>
      <c r="H67" s="94"/>
      <c r="I67" s="94"/>
    </row>
    <row r="68" spans="2:9" ht="16.5" x14ac:dyDescent="0.25">
      <c r="B68" s="21" t="s">
        <v>150</v>
      </c>
      <c r="C68" s="151" t="s">
        <v>151</v>
      </c>
      <c r="D68" s="152"/>
      <c r="E68" s="152"/>
      <c r="F68" s="152"/>
      <c r="G68" s="153"/>
      <c r="H68" s="94"/>
      <c r="I68" s="94"/>
    </row>
    <row r="69" spans="2:9" ht="17.25" x14ac:dyDescent="0.25">
      <c r="B69" s="18">
        <v>9</v>
      </c>
      <c r="C69" s="16" t="s">
        <v>152</v>
      </c>
      <c r="D69" s="15" t="s">
        <v>153</v>
      </c>
      <c r="E69" s="31" t="s">
        <v>11</v>
      </c>
      <c r="F69" s="79">
        <f>F6+F18+F21+F26+F35+F38+F42+F62</f>
        <v>50.530021406011585</v>
      </c>
      <c r="G69" s="19" t="s">
        <v>154</v>
      </c>
      <c r="H69" s="94"/>
      <c r="I69" s="94"/>
    </row>
    <row r="70" spans="2:9" x14ac:dyDescent="0.25">
      <c r="B70" s="22"/>
      <c r="C70" s="22"/>
      <c r="D70" s="22"/>
      <c r="E70" s="22"/>
      <c r="F70" s="22"/>
      <c r="G70" s="22"/>
      <c r="H70" s="97"/>
      <c r="I70" s="97"/>
    </row>
    <row r="71" spans="2:9" ht="19.5" x14ac:dyDescent="0.3">
      <c r="B71" s="154" t="s">
        <v>155</v>
      </c>
      <c r="C71" s="154"/>
      <c r="D71" s="154"/>
      <c r="E71" s="154"/>
      <c r="F71" s="154"/>
      <c r="G71" s="154"/>
      <c r="H71" s="97"/>
      <c r="I71" s="97"/>
    </row>
    <row r="72" spans="2:9" x14ac:dyDescent="0.25">
      <c r="B72" s="23"/>
      <c r="C72" s="23"/>
      <c r="D72" s="23"/>
      <c r="E72" s="23"/>
      <c r="F72" s="23"/>
      <c r="G72" s="23"/>
      <c r="H72" s="97"/>
      <c r="I72" s="97"/>
    </row>
    <row r="73" spans="2:9" ht="30" x14ac:dyDescent="0.25">
      <c r="B73" s="18">
        <v>10</v>
      </c>
      <c r="C73" s="16" t="s">
        <v>156</v>
      </c>
      <c r="D73" s="20" t="s">
        <v>157</v>
      </c>
      <c r="E73" s="31" t="s">
        <v>21</v>
      </c>
      <c r="F73" s="17">
        <f>(F74*F75*F76/F77)+F79*F80*F78*F82*F83/(12*F81)</f>
        <v>712770.48498362594</v>
      </c>
      <c r="G73" s="19" t="s">
        <v>261</v>
      </c>
      <c r="H73" s="97"/>
      <c r="I73" s="97"/>
    </row>
    <row r="74" spans="2:9" ht="17.25" x14ac:dyDescent="0.25">
      <c r="B74" s="80" t="s">
        <v>158</v>
      </c>
      <c r="C74" s="16" t="s">
        <v>159</v>
      </c>
      <c r="D74" s="15" t="s">
        <v>153</v>
      </c>
      <c r="E74" s="31" t="s">
        <v>11</v>
      </c>
      <c r="F74" s="17">
        <f>F69</f>
        <v>50.530021406011585</v>
      </c>
      <c r="G74" s="19" t="s">
        <v>12</v>
      </c>
      <c r="H74" s="97"/>
      <c r="I74" s="97"/>
    </row>
    <row r="75" spans="2:9" ht="34.5" customHeight="1" x14ac:dyDescent="0.25">
      <c r="B75" s="18" t="s">
        <v>160</v>
      </c>
      <c r="C75" s="16" t="s">
        <v>161</v>
      </c>
      <c r="D75" s="15" t="s">
        <v>262</v>
      </c>
      <c r="E75" s="31" t="s">
        <v>144</v>
      </c>
      <c r="F75" s="20">
        <v>1.0960000000000001</v>
      </c>
      <c r="G75" s="19" t="s">
        <v>16</v>
      </c>
      <c r="H75" s="97"/>
      <c r="I75" s="97"/>
    </row>
    <row r="76" spans="2:9" ht="24.95" customHeight="1" x14ac:dyDescent="0.25">
      <c r="B76" s="18" t="s">
        <v>162</v>
      </c>
      <c r="C76" s="16" t="s">
        <v>18</v>
      </c>
      <c r="D76" s="15" t="s">
        <v>17</v>
      </c>
      <c r="E76" s="31" t="s">
        <v>19</v>
      </c>
      <c r="F76" s="122">
        <f>F15</f>
        <v>11712</v>
      </c>
      <c r="G76" s="111" t="s">
        <v>375</v>
      </c>
      <c r="H76" s="97"/>
      <c r="I76" s="97"/>
    </row>
    <row r="77" spans="2:9" ht="27.95" customHeight="1" x14ac:dyDescent="0.25">
      <c r="B77" s="18" t="s">
        <v>163</v>
      </c>
      <c r="C77" s="16" t="s">
        <v>164</v>
      </c>
      <c r="D77" s="15" t="s">
        <v>165</v>
      </c>
      <c r="E77" s="31" t="s">
        <v>16</v>
      </c>
      <c r="F77" s="85">
        <v>0.91</v>
      </c>
      <c r="G77" s="111" t="s">
        <v>314</v>
      </c>
      <c r="H77" s="97"/>
      <c r="I77" s="97"/>
    </row>
    <row r="78" spans="2:9" ht="17.45" customHeight="1" x14ac:dyDescent="0.25">
      <c r="B78" s="80" t="s">
        <v>166</v>
      </c>
      <c r="C78" s="16" t="s">
        <v>265</v>
      </c>
      <c r="D78" s="15" t="s">
        <v>266</v>
      </c>
      <c r="E78" s="31" t="s">
        <v>182</v>
      </c>
      <c r="F78" s="81">
        <v>1</v>
      </c>
      <c r="G78" s="19" t="s">
        <v>267</v>
      </c>
      <c r="H78" s="97"/>
      <c r="I78" s="97"/>
    </row>
    <row r="79" spans="2:9" ht="21.6" customHeight="1" x14ac:dyDescent="0.25">
      <c r="B79" s="80" t="s">
        <v>167</v>
      </c>
      <c r="C79" s="16" t="s">
        <v>263</v>
      </c>
      <c r="D79" s="15" t="s">
        <v>168</v>
      </c>
      <c r="E79" s="31" t="s">
        <v>169</v>
      </c>
      <c r="F79" s="110">
        <v>1</v>
      </c>
      <c r="G79" s="85" t="s">
        <v>170</v>
      </c>
      <c r="H79" s="97"/>
      <c r="I79" s="97"/>
    </row>
    <row r="80" spans="2:9" ht="45.6" customHeight="1" x14ac:dyDescent="0.25">
      <c r="B80" s="80" t="s">
        <v>171</v>
      </c>
      <c r="C80" s="16" t="s">
        <v>172</v>
      </c>
      <c r="D80" s="15" t="s">
        <v>173</v>
      </c>
      <c r="E80" s="31" t="s">
        <v>21</v>
      </c>
      <c r="F80" s="112">
        <v>0</v>
      </c>
      <c r="G80" s="85" t="s">
        <v>174</v>
      </c>
      <c r="H80" s="97"/>
      <c r="I80" s="97"/>
    </row>
    <row r="81" spans="2:9" ht="21.6" customHeight="1" x14ac:dyDescent="0.25">
      <c r="B81" s="80" t="s">
        <v>175</v>
      </c>
      <c r="C81" s="16" t="s">
        <v>176</v>
      </c>
      <c r="D81" s="15" t="s">
        <v>177</v>
      </c>
      <c r="E81" s="31" t="s">
        <v>178</v>
      </c>
      <c r="F81" s="32">
        <v>5</v>
      </c>
      <c r="G81" s="19" t="s">
        <v>264</v>
      </c>
      <c r="H81" s="97"/>
      <c r="I81" s="97"/>
    </row>
    <row r="82" spans="2:9" ht="40.5" customHeight="1" x14ac:dyDescent="0.25">
      <c r="B82" s="80" t="s">
        <v>179</v>
      </c>
      <c r="C82" s="16" t="s">
        <v>180</v>
      </c>
      <c r="D82" s="15" t="s">
        <v>181</v>
      </c>
      <c r="E82" s="31" t="s">
        <v>182</v>
      </c>
      <c r="F82" s="65">
        <v>1.046</v>
      </c>
      <c r="G82" s="19" t="s">
        <v>183</v>
      </c>
      <c r="H82" s="97"/>
      <c r="I82" s="97"/>
    </row>
    <row r="83" spans="2:9" x14ac:dyDescent="0.25">
      <c r="B83" s="82" t="s">
        <v>268</v>
      </c>
      <c r="C83" s="16" t="s">
        <v>184</v>
      </c>
      <c r="D83" s="15" t="s">
        <v>185</v>
      </c>
      <c r="E83" s="31" t="s">
        <v>219</v>
      </c>
      <c r="F83" s="110">
        <v>7</v>
      </c>
      <c r="G83" s="111" t="s">
        <v>375</v>
      </c>
      <c r="H83" s="97"/>
      <c r="I83" s="97"/>
    </row>
    <row r="84" spans="2:9" ht="39" customHeight="1" x14ac:dyDescent="0.25">
      <c r="B84" s="80" t="s">
        <v>298</v>
      </c>
      <c r="C84" s="16" t="s">
        <v>240</v>
      </c>
      <c r="D84" s="15" t="s">
        <v>239</v>
      </c>
      <c r="E84" s="31" t="s">
        <v>19</v>
      </c>
      <c r="F84" s="127">
        <f>4*30.3*97.6</f>
        <v>11829.119999999999</v>
      </c>
      <c r="G84" s="85"/>
      <c r="H84" s="97"/>
      <c r="I84" s="97"/>
    </row>
    <row r="85" spans="2:9" ht="30" customHeight="1" x14ac:dyDescent="0.25">
      <c r="B85" s="82" t="s">
        <v>299</v>
      </c>
      <c r="C85" s="19" t="s">
        <v>269</v>
      </c>
      <c r="D85" s="15" t="s">
        <v>186</v>
      </c>
      <c r="E85" s="31" t="s">
        <v>187</v>
      </c>
      <c r="F85" s="114">
        <f>F76*16</f>
        <v>187392</v>
      </c>
      <c r="G85" s="85" t="s">
        <v>188</v>
      </c>
      <c r="H85" s="97"/>
      <c r="I85" s="97"/>
    </row>
    <row r="86" spans="2:9" ht="30" customHeight="1" x14ac:dyDescent="0.25">
      <c r="B86" s="80" t="s">
        <v>300</v>
      </c>
      <c r="C86" s="19" t="s">
        <v>270</v>
      </c>
      <c r="D86" s="15" t="s">
        <v>189</v>
      </c>
      <c r="E86" s="31" t="s">
        <v>187</v>
      </c>
      <c r="F86" s="114">
        <f>F85</f>
        <v>187392</v>
      </c>
      <c r="G86" s="85" t="s">
        <v>190</v>
      </c>
      <c r="H86" s="97"/>
      <c r="I86" s="97"/>
    </row>
    <row r="87" spans="2:9" ht="45.75" customHeight="1" x14ac:dyDescent="0.25">
      <c r="B87" s="82" t="s">
        <v>301</v>
      </c>
      <c r="C87" s="19" t="s">
        <v>295</v>
      </c>
      <c r="D87" s="15" t="s">
        <v>191</v>
      </c>
      <c r="E87" s="31" t="s">
        <v>21</v>
      </c>
      <c r="F87" s="141">
        <f>F73-F92</f>
        <v>10050.484983625938</v>
      </c>
      <c r="G87" s="85" t="s">
        <v>296</v>
      </c>
      <c r="H87" s="97"/>
      <c r="I87" s="97"/>
    </row>
    <row r="88" spans="2:9" ht="46.5" customHeight="1" x14ac:dyDescent="0.25">
      <c r="B88" s="80" t="s">
        <v>302</v>
      </c>
      <c r="C88" s="18" t="s">
        <v>192</v>
      </c>
      <c r="D88" s="15" t="s">
        <v>193</v>
      </c>
      <c r="E88" s="15" t="s">
        <v>182</v>
      </c>
      <c r="F88" s="113">
        <v>1.0409999999999999</v>
      </c>
      <c r="G88" s="84" t="s">
        <v>294</v>
      </c>
      <c r="H88" s="97"/>
      <c r="I88" s="97"/>
    </row>
    <row r="89" spans="2:9" ht="25.5" customHeight="1" x14ac:dyDescent="0.25">
      <c r="B89" s="82" t="s">
        <v>303</v>
      </c>
      <c r="C89" s="18"/>
      <c r="D89" s="15" t="s">
        <v>231</v>
      </c>
      <c r="E89" s="31" t="s">
        <v>21</v>
      </c>
      <c r="F89" s="83">
        <v>0</v>
      </c>
      <c r="G89" s="84" t="s">
        <v>233</v>
      </c>
      <c r="H89" s="97"/>
      <c r="I89" s="97"/>
    </row>
    <row r="90" spans="2:9" ht="33.75" customHeight="1" x14ac:dyDescent="0.25">
      <c r="B90" s="80" t="s">
        <v>304</v>
      </c>
      <c r="C90" s="18"/>
      <c r="D90" s="15" t="s">
        <v>232</v>
      </c>
      <c r="E90" s="31" t="s">
        <v>21</v>
      </c>
      <c r="F90" s="83">
        <v>0</v>
      </c>
      <c r="G90" s="84" t="s">
        <v>234</v>
      </c>
      <c r="H90" s="97"/>
      <c r="I90" s="97"/>
    </row>
    <row r="91" spans="2:9" ht="24.75" customHeight="1" x14ac:dyDescent="0.25">
      <c r="B91" s="82" t="s">
        <v>305</v>
      </c>
      <c r="C91" s="18"/>
      <c r="D91" s="15" t="s">
        <v>236</v>
      </c>
      <c r="E91" s="31" t="s">
        <v>182</v>
      </c>
      <c r="F91" s="83">
        <v>1</v>
      </c>
      <c r="G91" s="84" t="s">
        <v>237</v>
      </c>
      <c r="H91" s="97"/>
      <c r="I91" s="97"/>
    </row>
    <row r="92" spans="2:9" ht="23.25" customHeight="1" x14ac:dyDescent="0.25">
      <c r="B92" s="80" t="s">
        <v>306</v>
      </c>
      <c r="C92" s="18"/>
      <c r="D92" s="15" t="s">
        <v>194</v>
      </c>
      <c r="E92" s="15"/>
      <c r="F92" s="90">
        <f>F76*60</f>
        <v>702720</v>
      </c>
      <c r="G92" s="19" t="s">
        <v>235</v>
      </c>
      <c r="H92" s="97"/>
      <c r="I92" s="97"/>
    </row>
    <row r="93" spans="2:9" x14ac:dyDescent="0.25">
      <c r="B93" s="93"/>
      <c r="C93" s="93"/>
      <c r="D93" s="93"/>
      <c r="E93" s="93"/>
      <c r="F93" s="95"/>
      <c r="G93" s="96"/>
      <c r="H93" s="97"/>
      <c r="I93" s="97"/>
    </row>
    <row r="94" spans="2:9" x14ac:dyDescent="0.25">
      <c r="B94" s="93"/>
      <c r="C94" s="93"/>
      <c r="D94" s="98"/>
      <c r="E94" s="98"/>
      <c r="F94" s="96"/>
      <c r="G94" s="99"/>
      <c r="H94" s="97"/>
      <c r="I94" s="97"/>
    </row>
    <row r="95" spans="2:9" x14ac:dyDescent="0.25">
      <c r="B95" s="100"/>
      <c r="C95" s="100"/>
      <c r="D95" s="100"/>
      <c r="E95" s="100"/>
      <c r="F95" s="101"/>
      <c r="G95" s="102"/>
      <c r="H95" s="100"/>
      <c r="I95" s="100"/>
    </row>
  </sheetData>
  <mergeCells count="12">
    <mergeCell ref="B71:G71"/>
    <mergeCell ref="B1:G1"/>
    <mergeCell ref="C2:G2"/>
    <mergeCell ref="C5:G5"/>
    <mergeCell ref="C17:G17"/>
    <mergeCell ref="C20:G20"/>
    <mergeCell ref="C25:G25"/>
    <mergeCell ref="C34:G34"/>
    <mergeCell ref="C37:G37"/>
    <mergeCell ref="C41:G41"/>
    <mergeCell ref="C61:G61"/>
    <mergeCell ref="C68:G68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I96"/>
  <sheetViews>
    <sheetView topLeftCell="A62" zoomScale="80" zoomScaleNormal="80" workbookViewId="0">
      <selection activeCell="F95" sqref="F95"/>
    </sheetView>
  </sheetViews>
  <sheetFormatPr defaultRowHeight="15" x14ac:dyDescent="0.25"/>
  <cols>
    <col min="2" max="2" width="11.42578125" customWidth="1"/>
    <col min="3" max="3" width="74.140625" customWidth="1"/>
    <col min="4" max="4" width="12.5703125" customWidth="1"/>
    <col min="6" max="6" width="16.42578125" customWidth="1"/>
    <col min="7" max="7" width="74" customWidth="1"/>
    <col min="8" max="8" width="52.140625" customWidth="1"/>
  </cols>
  <sheetData>
    <row r="1" spans="2:9" ht="19.5" x14ac:dyDescent="0.3">
      <c r="B1" s="158" t="s">
        <v>0</v>
      </c>
      <c r="C1" s="158"/>
      <c r="D1" s="158"/>
      <c r="E1" s="158"/>
      <c r="F1" s="158"/>
      <c r="G1" s="158"/>
      <c r="H1" s="1"/>
      <c r="I1" s="1"/>
    </row>
    <row r="2" spans="2:9" ht="19.5" x14ac:dyDescent="0.3">
      <c r="B2" s="118"/>
      <c r="C2" s="158" t="s">
        <v>318</v>
      </c>
      <c r="D2" s="158"/>
      <c r="E2" s="158"/>
      <c r="F2" s="158"/>
      <c r="G2" s="158"/>
      <c r="H2" s="1"/>
      <c r="I2" s="1"/>
    </row>
    <row r="3" spans="2:9" ht="15.75" thickBot="1" x14ac:dyDescent="0.3">
      <c r="B3" s="1"/>
      <c r="C3" s="1"/>
      <c r="D3" s="1"/>
      <c r="E3" s="1"/>
      <c r="F3" s="1"/>
      <c r="G3" s="1"/>
      <c r="H3" s="1"/>
      <c r="I3" s="1"/>
    </row>
    <row r="4" spans="2:9" ht="30.75" thickBot="1" x14ac:dyDescent="0.3">
      <c r="B4" s="13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7" t="s">
        <v>6</v>
      </c>
      <c r="H4" s="94"/>
      <c r="I4" s="94"/>
    </row>
    <row r="5" spans="2:9" ht="17.25" thickBot="1" x14ac:dyDescent="0.3">
      <c r="B5" s="24" t="s">
        <v>7</v>
      </c>
      <c r="C5" s="159" t="s">
        <v>275</v>
      </c>
      <c r="D5" s="159"/>
      <c r="E5" s="159"/>
      <c r="F5" s="159"/>
      <c r="G5" s="160"/>
      <c r="H5" s="94"/>
      <c r="I5" s="94"/>
    </row>
    <row r="6" spans="2:9" ht="17.25" x14ac:dyDescent="0.25">
      <c r="B6" s="25">
        <v>1</v>
      </c>
      <c r="C6" s="26" t="s">
        <v>9</v>
      </c>
      <c r="D6" s="27" t="s">
        <v>10</v>
      </c>
      <c r="E6" s="28" t="s">
        <v>11</v>
      </c>
      <c r="F6" s="92">
        <f>((F7*F8)/F16)*F12*F13*(F14/F15)</f>
        <v>7.2625218737394359</v>
      </c>
      <c r="G6" s="29" t="s">
        <v>238</v>
      </c>
      <c r="H6" s="94"/>
      <c r="I6" s="94"/>
    </row>
    <row r="7" spans="2:9" x14ac:dyDescent="0.25">
      <c r="B7" s="30" t="s">
        <v>13</v>
      </c>
      <c r="C7" s="16" t="s">
        <v>14</v>
      </c>
      <c r="D7" s="15">
        <v>12</v>
      </c>
      <c r="E7" s="31" t="s">
        <v>15</v>
      </c>
      <c r="F7" s="32">
        <v>7</v>
      </c>
      <c r="G7" s="33"/>
      <c r="H7" s="94"/>
      <c r="I7" s="94"/>
    </row>
    <row r="8" spans="2:9" x14ac:dyDescent="0.25">
      <c r="B8" s="34" t="s">
        <v>20</v>
      </c>
      <c r="C8" s="16" t="s">
        <v>274</v>
      </c>
      <c r="D8" s="15" t="s">
        <v>206</v>
      </c>
      <c r="E8" s="31" t="s">
        <v>21</v>
      </c>
      <c r="F8" s="17">
        <f>F9*F10*F11</f>
        <v>88051.199999999997</v>
      </c>
      <c r="G8" s="33" t="s">
        <v>286</v>
      </c>
      <c r="H8" s="94"/>
      <c r="I8" s="94"/>
    </row>
    <row r="9" spans="2:9" ht="24.6" customHeight="1" x14ac:dyDescent="0.25">
      <c r="B9" s="35" t="s">
        <v>22</v>
      </c>
      <c r="C9" s="16" t="s">
        <v>23</v>
      </c>
      <c r="D9" s="15" t="s">
        <v>24</v>
      </c>
      <c r="E9" s="31" t="s">
        <v>21</v>
      </c>
      <c r="F9" s="87">
        <v>68790</v>
      </c>
      <c r="G9" s="88" t="str">
        <f>'122'!G9</f>
        <v xml:space="preserve">согласно фактическим данным предриятий за 2024г. </v>
      </c>
      <c r="H9" s="94"/>
      <c r="I9" s="94"/>
    </row>
    <row r="10" spans="2:9" ht="27.95" customHeight="1" x14ac:dyDescent="0.25">
      <c r="B10" s="30" t="s">
        <v>25</v>
      </c>
      <c r="C10" s="37" t="s">
        <v>26</v>
      </c>
      <c r="D10" s="38" t="s">
        <v>27</v>
      </c>
      <c r="E10" s="31" t="s">
        <v>12</v>
      </c>
      <c r="F10" s="39">
        <v>1.28</v>
      </c>
      <c r="G10" s="33" t="s">
        <v>271</v>
      </c>
      <c r="H10" s="94"/>
      <c r="I10" s="94"/>
    </row>
    <row r="11" spans="2:9" ht="27.6" customHeight="1" x14ac:dyDescent="0.25">
      <c r="B11" s="30" t="s">
        <v>28</v>
      </c>
      <c r="C11" s="37" t="s">
        <v>29</v>
      </c>
      <c r="D11" s="38" t="s">
        <v>30</v>
      </c>
      <c r="E11" s="31" t="s">
        <v>12</v>
      </c>
      <c r="F11" s="39">
        <v>1</v>
      </c>
      <c r="G11" s="33" t="s">
        <v>31</v>
      </c>
      <c r="H11" s="94"/>
      <c r="I11" s="94"/>
    </row>
    <row r="12" spans="2:9" ht="21.6" customHeight="1" x14ac:dyDescent="0.25">
      <c r="B12" s="30" t="s">
        <v>32</v>
      </c>
      <c r="C12" s="16" t="s">
        <v>33</v>
      </c>
      <c r="D12" s="15" t="s">
        <v>34</v>
      </c>
      <c r="E12" s="31" t="s">
        <v>8</v>
      </c>
      <c r="F12" s="122">
        <v>309.39999999999998</v>
      </c>
      <c r="G12" s="88" t="s">
        <v>388</v>
      </c>
      <c r="H12" s="94"/>
      <c r="I12" s="94"/>
    </row>
    <row r="13" spans="2:9" ht="57" customHeight="1" x14ac:dyDescent="0.25">
      <c r="B13" s="30" t="s">
        <v>35</v>
      </c>
      <c r="C13" s="40" t="s">
        <v>272</v>
      </c>
      <c r="D13" s="15" t="s">
        <v>36</v>
      </c>
      <c r="E13" s="31" t="s">
        <v>182</v>
      </c>
      <c r="F13" s="39">
        <v>1.06</v>
      </c>
      <c r="G13" s="33"/>
      <c r="H13" s="94"/>
      <c r="I13" s="94"/>
    </row>
    <row r="14" spans="2:9" ht="57" customHeight="1" x14ac:dyDescent="0.25">
      <c r="B14" s="30" t="s">
        <v>37</v>
      </c>
      <c r="C14" s="16" t="s">
        <v>38</v>
      </c>
      <c r="D14" s="15" t="s">
        <v>39</v>
      </c>
      <c r="E14" s="15" t="s">
        <v>182</v>
      </c>
      <c r="F14" s="104">
        <v>1.0469999999999999</v>
      </c>
      <c r="G14" s="33" t="str">
        <f>'122'!G14</f>
        <v>Индекс потребительский цен из прогноза Минэкономразвития РФ</v>
      </c>
      <c r="H14" s="94"/>
      <c r="I14" s="94"/>
    </row>
    <row r="15" spans="2:9" x14ac:dyDescent="0.25">
      <c r="B15" s="34" t="s">
        <v>41</v>
      </c>
      <c r="C15" s="16" t="s">
        <v>18</v>
      </c>
      <c r="D15" s="15" t="s">
        <v>17</v>
      </c>
      <c r="E15" s="31" t="s">
        <v>19</v>
      </c>
      <c r="F15" s="122">
        <v>16445.8</v>
      </c>
      <c r="G15" s="88" t="s">
        <v>388</v>
      </c>
      <c r="H15" s="94"/>
      <c r="I15" s="94"/>
    </row>
    <row r="16" spans="2:9" ht="15.75" thickBot="1" x14ac:dyDescent="0.3">
      <c r="B16" s="41" t="s">
        <v>42</v>
      </c>
      <c r="C16" s="42" t="s">
        <v>241</v>
      </c>
      <c r="D16" s="43" t="s">
        <v>207</v>
      </c>
      <c r="E16" s="52" t="s">
        <v>8</v>
      </c>
      <c r="F16" s="44">
        <v>1772</v>
      </c>
      <c r="G16" s="45"/>
      <c r="H16" s="94"/>
      <c r="I16" s="94"/>
    </row>
    <row r="17" spans="2:9" ht="17.25" thickBot="1" x14ac:dyDescent="0.3">
      <c r="B17" s="46" t="s">
        <v>45</v>
      </c>
      <c r="C17" s="161" t="s">
        <v>276</v>
      </c>
      <c r="D17" s="162"/>
      <c r="E17" s="162"/>
      <c r="F17" s="162"/>
      <c r="G17" s="163"/>
      <c r="H17" s="94"/>
      <c r="I17" s="94"/>
    </row>
    <row r="18" spans="2:9" ht="28.5" customHeight="1" x14ac:dyDescent="0.25">
      <c r="B18" s="25">
        <v>2</v>
      </c>
      <c r="C18" s="47" t="s">
        <v>46</v>
      </c>
      <c r="D18" s="27" t="s">
        <v>208</v>
      </c>
      <c r="E18" s="28" t="s">
        <v>11</v>
      </c>
      <c r="F18" s="115">
        <f>F6*F19</f>
        <v>0</v>
      </c>
      <c r="G18" s="116" t="s">
        <v>307</v>
      </c>
      <c r="H18" s="117" t="s">
        <v>309</v>
      </c>
      <c r="I18" s="94"/>
    </row>
    <row r="19" spans="2:9" ht="69.599999999999994" customHeight="1" thickBot="1" x14ac:dyDescent="0.3">
      <c r="B19" s="48" t="s">
        <v>308</v>
      </c>
      <c r="C19" s="16" t="s">
        <v>273</v>
      </c>
      <c r="D19" s="15" t="s">
        <v>243</v>
      </c>
      <c r="E19" s="31" t="s">
        <v>182</v>
      </c>
      <c r="F19" s="83">
        <v>0</v>
      </c>
      <c r="G19" s="88" t="s">
        <v>242</v>
      </c>
      <c r="H19" s="94"/>
      <c r="I19" s="94"/>
    </row>
    <row r="20" spans="2:9" ht="16.5" x14ac:dyDescent="0.25">
      <c r="B20" s="49" t="s">
        <v>48</v>
      </c>
      <c r="C20" s="155" t="s">
        <v>277</v>
      </c>
      <c r="D20" s="156"/>
      <c r="E20" s="156"/>
      <c r="F20" s="156"/>
      <c r="G20" s="157"/>
      <c r="H20" s="94"/>
      <c r="I20" s="94"/>
    </row>
    <row r="21" spans="2:9" x14ac:dyDescent="0.25">
      <c r="B21" s="18">
        <v>3</v>
      </c>
      <c r="C21" s="16" t="s">
        <v>49</v>
      </c>
      <c r="D21" s="15" t="s">
        <v>50</v>
      </c>
      <c r="E21" s="31" t="s">
        <v>11</v>
      </c>
      <c r="F21" s="50">
        <f>SUM(F22+F23)*(F24/100)</f>
        <v>2.1932816058693096</v>
      </c>
      <c r="G21" s="19" t="s">
        <v>244</v>
      </c>
      <c r="H21" s="94"/>
      <c r="I21" s="94"/>
    </row>
    <row r="22" spans="2:9" ht="17.25" x14ac:dyDescent="0.25">
      <c r="B22" s="18" t="s">
        <v>51</v>
      </c>
      <c r="C22" s="16" t="s">
        <v>52</v>
      </c>
      <c r="D22" s="15" t="s">
        <v>10</v>
      </c>
      <c r="E22" s="31" t="s">
        <v>11</v>
      </c>
      <c r="F22" s="109">
        <f>SUM(F6)</f>
        <v>7.2625218737394359</v>
      </c>
      <c r="G22" s="51"/>
      <c r="H22" s="94"/>
      <c r="I22" s="94"/>
    </row>
    <row r="23" spans="2:9" ht="16.5" customHeight="1" x14ac:dyDescent="0.25">
      <c r="B23" s="18" t="s">
        <v>53</v>
      </c>
      <c r="C23" s="16" t="s">
        <v>46</v>
      </c>
      <c r="D23" s="15" t="s">
        <v>47</v>
      </c>
      <c r="E23" s="31" t="s">
        <v>11</v>
      </c>
      <c r="F23" s="39">
        <f>SUM(F18)</f>
        <v>0</v>
      </c>
      <c r="G23" s="51"/>
      <c r="H23" s="94"/>
      <c r="I23" s="94"/>
    </row>
    <row r="24" spans="2:9" ht="16.5" customHeight="1" thickBot="1" x14ac:dyDescent="0.3">
      <c r="B24" s="41" t="s">
        <v>54</v>
      </c>
      <c r="C24" s="42" t="s">
        <v>280</v>
      </c>
      <c r="D24" s="43" t="s">
        <v>56</v>
      </c>
      <c r="E24" s="52" t="s">
        <v>57</v>
      </c>
      <c r="F24" s="53">
        <v>30.2</v>
      </c>
      <c r="G24" s="54" t="s">
        <v>58</v>
      </c>
      <c r="H24" s="94"/>
      <c r="I24" s="94"/>
    </row>
    <row r="25" spans="2:9" ht="16.5" x14ac:dyDescent="0.25">
      <c r="B25" s="55" t="s">
        <v>59</v>
      </c>
      <c r="C25" s="164" t="s">
        <v>278</v>
      </c>
      <c r="D25" s="165"/>
      <c r="E25" s="165"/>
      <c r="F25" s="165"/>
      <c r="G25" s="166"/>
      <c r="H25" s="94"/>
      <c r="I25" s="94"/>
    </row>
    <row r="26" spans="2:9" ht="18" customHeight="1" x14ac:dyDescent="0.25">
      <c r="B26" s="18">
        <v>4</v>
      </c>
      <c r="C26" s="56" t="s">
        <v>60</v>
      </c>
      <c r="D26" s="57" t="s">
        <v>61</v>
      </c>
      <c r="E26" s="58" t="s">
        <v>11</v>
      </c>
      <c r="F26" s="59">
        <f>F27*((F28/100)*(1+0.01*F29)+((F30/F31)*(F32/12)))*F33</f>
        <v>22.363806857142858</v>
      </c>
      <c r="G26" s="60" t="s">
        <v>245</v>
      </c>
      <c r="H26" s="94"/>
      <c r="I26" s="94"/>
    </row>
    <row r="27" spans="2:9" x14ac:dyDescent="0.25">
      <c r="B27" s="61" t="s">
        <v>62</v>
      </c>
      <c r="C27" s="16" t="s">
        <v>63</v>
      </c>
      <c r="D27" s="15" t="s">
        <v>64</v>
      </c>
      <c r="E27" s="31" t="s">
        <v>21</v>
      </c>
      <c r="F27" s="87">
        <v>72</v>
      </c>
      <c r="G27" s="85" t="s">
        <v>364</v>
      </c>
      <c r="H27" s="94"/>
      <c r="I27" s="94"/>
    </row>
    <row r="28" spans="2:9" ht="75.599999999999994" customHeight="1" x14ac:dyDescent="0.25">
      <c r="B28" s="61" t="s">
        <v>65</v>
      </c>
      <c r="C28" s="16" t="s">
        <v>279</v>
      </c>
      <c r="D28" s="15" t="s">
        <v>246</v>
      </c>
      <c r="E28" s="31" t="s">
        <v>66</v>
      </c>
      <c r="F28" s="91">
        <v>26.2</v>
      </c>
      <c r="G28" s="85" t="s">
        <v>319</v>
      </c>
      <c r="H28" s="94"/>
      <c r="I28" s="94"/>
    </row>
    <row r="29" spans="2:9" ht="83.1" customHeight="1" x14ac:dyDescent="0.25">
      <c r="B29" s="61" t="s">
        <v>67</v>
      </c>
      <c r="C29" s="16" t="s">
        <v>68</v>
      </c>
      <c r="D29" s="15" t="s">
        <v>69</v>
      </c>
      <c r="E29" s="31" t="s">
        <v>57</v>
      </c>
      <c r="F29" s="36">
        <v>10</v>
      </c>
      <c r="G29" s="19" t="s">
        <v>70</v>
      </c>
      <c r="H29" s="94"/>
      <c r="I29" s="94"/>
    </row>
    <row r="30" spans="2:9" ht="33" customHeight="1" x14ac:dyDescent="0.25">
      <c r="B30" s="61" t="s">
        <v>71</v>
      </c>
      <c r="C30" s="16" t="s">
        <v>72</v>
      </c>
      <c r="D30" s="62" t="s">
        <v>247</v>
      </c>
      <c r="E30" s="31" t="s">
        <v>73</v>
      </c>
      <c r="F30" s="105">
        <v>2.5</v>
      </c>
      <c r="G30" s="19" t="s">
        <v>324</v>
      </c>
      <c r="H30" s="94"/>
      <c r="I30" s="94"/>
    </row>
    <row r="31" spans="2:9" ht="24" customHeight="1" x14ac:dyDescent="0.25">
      <c r="B31" s="61" t="s">
        <v>74</v>
      </c>
      <c r="C31" s="16" t="s">
        <v>75</v>
      </c>
      <c r="D31" s="62" t="s">
        <v>76</v>
      </c>
      <c r="E31" s="31" t="s">
        <v>77</v>
      </c>
      <c r="F31" s="106">
        <v>70</v>
      </c>
      <c r="G31" s="88"/>
      <c r="H31" s="94"/>
      <c r="I31" s="94"/>
    </row>
    <row r="32" spans="2:9" ht="30" x14ac:dyDescent="0.25">
      <c r="B32" s="61" t="s">
        <v>78</v>
      </c>
      <c r="C32" s="16" t="s">
        <v>79</v>
      </c>
      <c r="D32" s="62" t="s">
        <v>80</v>
      </c>
      <c r="E32" s="31" t="s">
        <v>220</v>
      </c>
      <c r="F32" s="107">
        <v>4</v>
      </c>
      <c r="G32" s="88" t="s">
        <v>391</v>
      </c>
      <c r="H32" s="94"/>
      <c r="I32" s="94"/>
    </row>
    <row r="33" spans="2:9" ht="30" x14ac:dyDescent="0.25">
      <c r="B33" s="61" t="s">
        <v>81</v>
      </c>
      <c r="C33" s="16" t="s">
        <v>82</v>
      </c>
      <c r="D33" s="15" t="s">
        <v>83</v>
      </c>
      <c r="E33" s="15" t="s">
        <v>182</v>
      </c>
      <c r="F33" s="104">
        <v>1.0349999999999999</v>
      </c>
      <c r="G33" s="63" t="s">
        <v>218</v>
      </c>
      <c r="H33" s="94"/>
      <c r="I33" s="94"/>
    </row>
    <row r="34" spans="2:9" ht="16.5" x14ac:dyDescent="0.25">
      <c r="B34" s="18" t="s">
        <v>84</v>
      </c>
      <c r="C34" s="167" t="s">
        <v>281</v>
      </c>
      <c r="D34" s="168"/>
      <c r="E34" s="168"/>
      <c r="F34" s="168"/>
      <c r="G34" s="169"/>
      <c r="H34" s="94"/>
      <c r="I34" s="94"/>
    </row>
    <row r="35" spans="2:9" ht="17.25" x14ac:dyDescent="0.25">
      <c r="B35" s="18">
        <v>5</v>
      </c>
      <c r="C35" s="16" t="s">
        <v>85</v>
      </c>
      <c r="D35" s="15" t="s">
        <v>86</v>
      </c>
      <c r="E35" s="58" t="s">
        <v>11</v>
      </c>
      <c r="F35" s="64">
        <f>0.075*F36</f>
        <v>1.6772855142857144</v>
      </c>
      <c r="G35" s="19" t="s">
        <v>248</v>
      </c>
      <c r="H35" s="94"/>
      <c r="I35" s="94"/>
    </row>
    <row r="36" spans="2:9" ht="17.25" x14ac:dyDescent="0.25">
      <c r="B36" s="18" t="s">
        <v>87</v>
      </c>
      <c r="C36" s="56" t="s">
        <v>60</v>
      </c>
      <c r="D36" s="57" t="s">
        <v>61</v>
      </c>
      <c r="E36" s="58" t="s">
        <v>11</v>
      </c>
      <c r="F36" s="39">
        <f>SUM(F26)</f>
        <v>22.363806857142858</v>
      </c>
      <c r="G36" s="51" t="s">
        <v>88</v>
      </c>
      <c r="H36" s="94"/>
      <c r="I36" s="94"/>
    </row>
    <row r="37" spans="2:9" ht="16.5" x14ac:dyDescent="0.25">
      <c r="B37" s="18" t="s">
        <v>89</v>
      </c>
      <c r="C37" s="167" t="s">
        <v>282</v>
      </c>
      <c r="D37" s="168"/>
      <c r="E37" s="168"/>
      <c r="F37" s="168"/>
      <c r="G37" s="169"/>
      <c r="H37" s="94"/>
      <c r="I37" s="94"/>
    </row>
    <row r="38" spans="2:9" ht="17.25" x14ac:dyDescent="0.25">
      <c r="B38" s="18">
        <v>6</v>
      </c>
      <c r="C38" s="16" t="s">
        <v>90</v>
      </c>
      <c r="D38" s="15" t="s">
        <v>91</v>
      </c>
      <c r="E38" s="31" t="s">
        <v>11</v>
      </c>
      <c r="F38" s="64">
        <f>F39*F40</f>
        <v>0.69036000000000008</v>
      </c>
      <c r="G38" s="19" t="s">
        <v>249</v>
      </c>
      <c r="H38" s="94"/>
      <c r="I38" s="94"/>
    </row>
    <row r="39" spans="2:9" ht="60" x14ac:dyDescent="0.25">
      <c r="B39" s="18" t="s">
        <v>92</v>
      </c>
      <c r="C39" s="16" t="s">
        <v>93</v>
      </c>
      <c r="D39" s="15" t="s">
        <v>94</v>
      </c>
      <c r="E39" s="31" t="s">
        <v>16</v>
      </c>
      <c r="F39" s="39">
        <v>0.66</v>
      </c>
      <c r="G39" s="19" t="s">
        <v>320</v>
      </c>
      <c r="H39" s="94"/>
      <c r="I39" s="94"/>
    </row>
    <row r="40" spans="2:9" ht="45.6" customHeight="1" x14ac:dyDescent="0.25">
      <c r="B40" s="18" t="s">
        <v>95</v>
      </c>
      <c r="C40" s="16" t="s">
        <v>96</v>
      </c>
      <c r="D40" s="15" t="s">
        <v>97</v>
      </c>
      <c r="E40" s="15" t="s">
        <v>16</v>
      </c>
      <c r="F40" s="104">
        <v>1.046</v>
      </c>
      <c r="G40" s="19" t="s">
        <v>98</v>
      </c>
      <c r="H40" s="94"/>
      <c r="I40" s="94"/>
    </row>
    <row r="41" spans="2:9" ht="16.5" x14ac:dyDescent="0.25">
      <c r="B41" s="18" t="s">
        <v>99</v>
      </c>
      <c r="C41" s="151" t="s">
        <v>283</v>
      </c>
      <c r="D41" s="152"/>
      <c r="E41" s="152"/>
      <c r="F41" s="152"/>
      <c r="G41" s="153"/>
      <c r="H41" s="94"/>
      <c r="I41" s="94"/>
    </row>
    <row r="42" spans="2:9" ht="17.25" x14ac:dyDescent="0.25">
      <c r="B42" s="18" t="s">
        <v>100</v>
      </c>
      <c r="C42" s="16" t="s">
        <v>101</v>
      </c>
      <c r="D42" s="15" t="s">
        <v>102</v>
      </c>
      <c r="E42" s="31" t="s">
        <v>11</v>
      </c>
      <c r="F42" s="64">
        <f>F43+F57</f>
        <v>11.841147002745696</v>
      </c>
      <c r="G42" s="19" t="s">
        <v>250</v>
      </c>
      <c r="H42" s="94"/>
      <c r="I42" s="94"/>
    </row>
    <row r="43" spans="2:9" ht="30" x14ac:dyDescent="0.25">
      <c r="B43" s="18" t="s">
        <v>103</v>
      </c>
      <c r="C43" s="16" t="s">
        <v>104</v>
      </c>
      <c r="D43" s="15" t="s">
        <v>105</v>
      </c>
      <c r="E43" s="31" t="s">
        <v>11</v>
      </c>
      <c r="F43" s="39">
        <f>(F45*(F48/F55))*F47*((F52/F46)+(F53*F54))*F44*(1+(F56/100))</f>
        <v>7.1341470027456966</v>
      </c>
      <c r="G43" s="19" t="s">
        <v>251</v>
      </c>
      <c r="H43" s="94"/>
      <c r="I43" s="94"/>
    </row>
    <row r="44" spans="2:9" ht="30.6" customHeight="1" x14ac:dyDescent="0.25">
      <c r="B44" s="18" t="s">
        <v>106</v>
      </c>
      <c r="C44" s="66" t="s">
        <v>107</v>
      </c>
      <c r="D44" s="18">
        <v>1E-3</v>
      </c>
      <c r="E44" s="18" t="s">
        <v>16</v>
      </c>
      <c r="F44" s="18">
        <v>1E-3</v>
      </c>
      <c r="G44" s="67"/>
      <c r="H44" s="94"/>
      <c r="I44" s="94"/>
    </row>
    <row r="45" spans="2:9" x14ac:dyDescent="0.25">
      <c r="B45" s="18" t="s">
        <v>108</v>
      </c>
      <c r="C45" s="16" t="s">
        <v>14</v>
      </c>
      <c r="D45" s="15">
        <v>12</v>
      </c>
      <c r="E45" s="31" t="s">
        <v>15</v>
      </c>
      <c r="F45" s="32">
        <v>7</v>
      </c>
      <c r="G45" s="67"/>
      <c r="H45" s="94"/>
      <c r="I45" s="94"/>
    </row>
    <row r="46" spans="2:9" ht="29.1" customHeight="1" x14ac:dyDescent="0.25">
      <c r="B46" s="18" t="s">
        <v>109</v>
      </c>
      <c r="C46" s="16" t="s">
        <v>253</v>
      </c>
      <c r="D46" s="15" t="s">
        <v>252</v>
      </c>
      <c r="E46" s="31" t="s">
        <v>182</v>
      </c>
      <c r="F46" s="39">
        <v>0.9</v>
      </c>
      <c r="G46" s="108" t="s">
        <v>254</v>
      </c>
      <c r="H46" s="94"/>
      <c r="I46" s="94"/>
    </row>
    <row r="47" spans="2:9" ht="59.25" customHeight="1" x14ac:dyDescent="0.25">
      <c r="B47" s="30" t="s">
        <v>110</v>
      </c>
      <c r="C47" s="16" t="s">
        <v>38</v>
      </c>
      <c r="D47" s="15" t="s">
        <v>39</v>
      </c>
      <c r="E47" s="15" t="s">
        <v>182</v>
      </c>
      <c r="F47" s="104">
        <v>1.0469999999999999</v>
      </c>
      <c r="G47" s="33" t="str">
        <f>'122'!G47</f>
        <v>Индекс потребительский цен из прогноза Минэкономразвития РФ</v>
      </c>
      <c r="H47" s="94"/>
      <c r="I47" s="94"/>
    </row>
    <row r="48" spans="2:9" ht="20.45" customHeight="1" x14ac:dyDescent="0.25">
      <c r="B48" s="19" t="s">
        <v>111</v>
      </c>
      <c r="C48" s="66" t="s">
        <v>257</v>
      </c>
      <c r="D48" s="15" t="s">
        <v>112</v>
      </c>
      <c r="E48" s="31" t="s">
        <v>21</v>
      </c>
      <c r="F48" s="17">
        <f>F49*F50*F51</f>
        <v>68790</v>
      </c>
      <c r="G48" s="19" t="s">
        <v>113</v>
      </c>
      <c r="H48" s="94"/>
      <c r="I48" s="94"/>
    </row>
    <row r="49" spans="2:9" ht="45.6" customHeight="1" x14ac:dyDescent="0.25">
      <c r="B49" s="18" t="s">
        <v>114</v>
      </c>
      <c r="C49" s="16" t="s">
        <v>115</v>
      </c>
      <c r="D49" s="15" t="s">
        <v>24</v>
      </c>
      <c r="E49" s="31" t="s">
        <v>21</v>
      </c>
      <c r="F49" s="36">
        <f>F9</f>
        <v>68790</v>
      </c>
      <c r="G49" s="88" t="str">
        <f>'122'!G49</f>
        <v xml:space="preserve">согласно фактическим данным предриятий за 2024г. </v>
      </c>
      <c r="H49" s="94"/>
      <c r="I49" s="94"/>
    </row>
    <row r="50" spans="2:9" ht="32.1" customHeight="1" x14ac:dyDescent="0.25">
      <c r="B50" s="18" t="s">
        <v>116</v>
      </c>
      <c r="C50" s="66" t="s">
        <v>284</v>
      </c>
      <c r="D50" s="15" t="s">
        <v>217</v>
      </c>
      <c r="E50" s="15" t="s">
        <v>182</v>
      </c>
      <c r="F50" s="39">
        <v>1</v>
      </c>
      <c r="G50" s="19"/>
      <c r="H50" s="94"/>
      <c r="I50" s="94"/>
    </row>
    <row r="51" spans="2:9" ht="29.45" customHeight="1" x14ac:dyDescent="0.25">
      <c r="B51" s="18" t="s">
        <v>117</v>
      </c>
      <c r="C51" s="68" t="s">
        <v>29</v>
      </c>
      <c r="D51" s="38" t="s">
        <v>30</v>
      </c>
      <c r="E51" s="31" t="s">
        <v>12</v>
      </c>
      <c r="F51" s="39">
        <v>1</v>
      </c>
      <c r="G51" s="33" t="s">
        <v>31</v>
      </c>
      <c r="H51" s="94"/>
      <c r="I51" s="94"/>
    </row>
    <row r="52" spans="2:9" ht="60" customHeight="1" x14ac:dyDescent="0.25">
      <c r="B52" s="18" t="s">
        <v>118</v>
      </c>
      <c r="C52" s="16" t="s">
        <v>119</v>
      </c>
      <c r="D52" s="15" t="s">
        <v>120</v>
      </c>
      <c r="E52" s="15" t="s">
        <v>16</v>
      </c>
      <c r="F52" s="39">
        <v>9.3000000000000007</v>
      </c>
      <c r="G52" s="19" t="s">
        <v>321</v>
      </c>
      <c r="H52" s="94"/>
      <c r="I52" s="94"/>
    </row>
    <row r="53" spans="2:9" ht="54.95" customHeight="1" x14ac:dyDescent="0.25">
      <c r="B53" s="18" t="s">
        <v>122</v>
      </c>
      <c r="C53" s="16" t="s">
        <v>123</v>
      </c>
      <c r="D53" s="15" t="s">
        <v>124</v>
      </c>
      <c r="E53" s="15" t="s">
        <v>16</v>
      </c>
      <c r="F53" s="18">
        <v>7.8</v>
      </c>
      <c r="G53" s="19" t="s">
        <v>322</v>
      </c>
      <c r="H53" s="94"/>
      <c r="I53" s="94"/>
    </row>
    <row r="54" spans="2:9" ht="34.5" customHeight="1" x14ac:dyDescent="0.25">
      <c r="B54" s="18" t="s">
        <v>125</v>
      </c>
      <c r="C54" s="16" t="s">
        <v>256</v>
      </c>
      <c r="D54" s="20" t="s">
        <v>255</v>
      </c>
      <c r="E54" s="15" t="s">
        <v>16</v>
      </c>
      <c r="F54" s="39">
        <f>SUM('КЗп, КЗ, КЗЧ'!C4)</f>
        <v>1.2</v>
      </c>
      <c r="G54" s="19" t="s">
        <v>254</v>
      </c>
      <c r="H54" s="94"/>
      <c r="I54" s="94"/>
    </row>
    <row r="55" spans="2:9" ht="23.45" customHeight="1" x14ac:dyDescent="0.25">
      <c r="B55" s="18" t="s">
        <v>126</v>
      </c>
      <c r="C55" s="16" t="s">
        <v>43</v>
      </c>
      <c r="D55" s="15" t="s">
        <v>44</v>
      </c>
      <c r="E55" s="15" t="s">
        <v>8</v>
      </c>
      <c r="F55" s="12">
        <v>1812</v>
      </c>
      <c r="G55" s="19"/>
      <c r="H55" s="94"/>
      <c r="I55" s="94"/>
    </row>
    <row r="56" spans="2:9" ht="23.45" customHeight="1" x14ac:dyDescent="0.25">
      <c r="B56" s="18" t="s">
        <v>127</v>
      </c>
      <c r="C56" s="16" t="s">
        <v>55</v>
      </c>
      <c r="D56" s="15" t="s">
        <v>56</v>
      </c>
      <c r="E56" s="31" t="s">
        <v>57</v>
      </c>
      <c r="F56" s="69">
        <v>30.2</v>
      </c>
      <c r="G56" s="19" t="s">
        <v>58</v>
      </c>
      <c r="H56" s="94"/>
      <c r="I56" s="94"/>
    </row>
    <row r="57" spans="2:9" ht="36.6" customHeight="1" x14ac:dyDescent="0.25">
      <c r="B57" s="18" t="s">
        <v>128</v>
      </c>
      <c r="C57" s="16" t="s">
        <v>129</v>
      </c>
      <c r="D57" s="15" t="s">
        <v>130</v>
      </c>
      <c r="E57" s="31" t="s">
        <v>11</v>
      </c>
      <c r="F57" s="39">
        <f>F58*F59*F60</f>
        <v>4.7069999999999999</v>
      </c>
      <c r="G57" s="19" t="s">
        <v>259</v>
      </c>
      <c r="H57" s="94"/>
      <c r="I57" s="94"/>
    </row>
    <row r="58" spans="2:9" ht="56.1" customHeight="1" x14ac:dyDescent="0.25">
      <c r="B58" s="18" t="s">
        <v>131</v>
      </c>
      <c r="C58" s="16" t="s">
        <v>132</v>
      </c>
      <c r="D58" s="15" t="s">
        <v>133</v>
      </c>
      <c r="E58" s="15" t="s">
        <v>182</v>
      </c>
      <c r="F58" s="39">
        <v>3.6</v>
      </c>
      <c r="G58" s="19" t="s">
        <v>323</v>
      </c>
      <c r="H58" s="94"/>
      <c r="I58" s="94"/>
    </row>
    <row r="59" spans="2:9" ht="32.1" customHeight="1" x14ac:dyDescent="0.25">
      <c r="B59" s="18" t="s">
        <v>134</v>
      </c>
      <c r="C59" s="16" t="s">
        <v>258</v>
      </c>
      <c r="D59" s="15" t="s">
        <v>135</v>
      </c>
      <c r="E59" s="15" t="s">
        <v>182</v>
      </c>
      <c r="F59" s="39">
        <f>SUM('КЗп, КЗ, КЗЧ'!D4)</f>
        <v>1.25</v>
      </c>
      <c r="G59" s="19" t="s">
        <v>365</v>
      </c>
      <c r="H59" s="94"/>
      <c r="I59" s="94"/>
    </row>
    <row r="60" spans="2:9" ht="48" customHeight="1" x14ac:dyDescent="0.25">
      <c r="B60" s="18" t="s">
        <v>134</v>
      </c>
      <c r="C60" s="16" t="s">
        <v>96</v>
      </c>
      <c r="D60" s="15" t="s">
        <v>97</v>
      </c>
      <c r="E60" s="15" t="s">
        <v>16</v>
      </c>
      <c r="F60" s="89">
        <v>1.046</v>
      </c>
      <c r="G60" s="85" t="s">
        <v>136</v>
      </c>
      <c r="H60" s="94"/>
      <c r="I60" s="94"/>
    </row>
    <row r="61" spans="2:9" ht="16.5" x14ac:dyDescent="0.25">
      <c r="B61" s="70" t="s">
        <v>137</v>
      </c>
      <c r="C61" s="170" t="s">
        <v>138</v>
      </c>
      <c r="D61" s="171"/>
      <c r="E61" s="171"/>
      <c r="F61" s="171"/>
      <c r="G61" s="171"/>
      <c r="H61" s="94"/>
      <c r="I61" s="94"/>
    </row>
    <row r="62" spans="2:9" ht="30" x14ac:dyDescent="0.25">
      <c r="B62" s="18">
        <v>8</v>
      </c>
      <c r="C62" s="63" t="s">
        <v>139</v>
      </c>
      <c r="D62" s="71" t="s">
        <v>140</v>
      </c>
      <c r="E62" s="72" t="s">
        <v>11</v>
      </c>
      <c r="F62" s="50">
        <f>F63*(F64+F65+F66+F67)</f>
        <v>27.612312527501576</v>
      </c>
      <c r="G62" s="19" t="s">
        <v>260</v>
      </c>
      <c r="H62" s="94"/>
      <c r="I62" s="94"/>
    </row>
    <row r="63" spans="2:9" ht="28.5" customHeight="1" x14ac:dyDescent="0.25">
      <c r="B63" s="18" t="s">
        <v>141</v>
      </c>
      <c r="C63" s="37" t="s">
        <v>142</v>
      </c>
      <c r="D63" s="73" t="s">
        <v>143</v>
      </c>
      <c r="E63" s="74" t="s">
        <v>144</v>
      </c>
      <c r="F63" s="18">
        <v>0.755</v>
      </c>
      <c r="G63" s="19" t="s">
        <v>360</v>
      </c>
      <c r="H63" s="94"/>
      <c r="I63" s="94"/>
    </row>
    <row r="64" spans="2:9" ht="17.25" x14ac:dyDescent="0.25">
      <c r="B64" s="18" t="s">
        <v>146</v>
      </c>
      <c r="C64" s="56" t="s">
        <v>60</v>
      </c>
      <c r="D64" s="57" t="s">
        <v>61</v>
      </c>
      <c r="E64" s="58" t="s">
        <v>11</v>
      </c>
      <c r="F64" s="75">
        <f>F36</f>
        <v>22.363806857142858</v>
      </c>
      <c r="G64" s="76"/>
      <c r="H64" s="94"/>
      <c r="I64" s="94"/>
    </row>
    <row r="65" spans="2:9" ht="22.5" customHeight="1" x14ac:dyDescent="0.25">
      <c r="B65" s="18" t="s">
        <v>147</v>
      </c>
      <c r="C65" s="16" t="s">
        <v>85</v>
      </c>
      <c r="D65" s="15" t="s">
        <v>86</v>
      </c>
      <c r="E65" s="58" t="s">
        <v>11</v>
      </c>
      <c r="F65" s="77">
        <f>F35</f>
        <v>1.6772855142857144</v>
      </c>
      <c r="G65" s="78"/>
      <c r="H65" s="94"/>
      <c r="I65" s="94"/>
    </row>
    <row r="66" spans="2:9" ht="17.25" x14ac:dyDescent="0.25">
      <c r="B66" s="21" t="s">
        <v>148</v>
      </c>
      <c r="C66" s="16" t="s">
        <v>90</v>
      </c>
      <c r="D66" s="15" t="s">
        <v>91</v>
      </c>
      <c r="E66" s="31" t="s">
        <v>11</v>
      </c>
      <c r="F66" s="77">
        <f>F38</f>
        <v>0.69036000000000008</v>
      </c>
      <c r="G66" s="78"/>
      <c r="H66" s="94"/>
      <c r="I66" s="94"/>
    </row>
    <row r="67" spans="2:9" ht="17.25" x14ac:dyDescent="0.25">
      <c r="B67" s="21" t="s">
        <v>149</v>
      </c>
      <c r="C67" s="16" t="s">
        <v>101</v>
      </c>
      <c r="D67" s="15" t="s">
        <v>102</v>
      </c>
      <c r="E67" s="31" t="s">
        <v>11</v>
      </c>
      <c r="F67" s="77">
        <f>F42</f>
        <v>11.841147002745696</v>
      </c>
      <c r="G67" s="78"/>
      <c r="H67" s="94"/>
      <c r="I67" s="94"/>
    </row>
    <row r="68" spans="2:9" ht="16.5" x14ac:dyDescent="0.25">
      <c r="B68" s="21" t="s">
        <v>150</v>
      </c>
      <c r="C68" s="151" t="s">
        <v>151</v>
      </c>
      <c r="D68" s="152"/>
      <c r="E68" s="152"/>
      <c r="F68" s="152"/>
      <c r="G68" s="153"/>
      <c r="H68" s="94"/>
      <c r="I68" s="94"/>
    </row>
    <row r="69" spans="2:9" ht="17.25" x14ac:dyDescent="0.25">
      <c r="B69" s="18">
        <v>9</v>
      </c>
      <c r="C69" s="16" t="s">
        <v>152</v>
      </c>
      <c r="D69" s="15" t="s">
        <v>153</v>
      </c>
      <c r="E69" s="31" t="s">
        <v>11</v>
      </c>
      <c r="F69" s="79">
        <f>F6+F18+F21+F26+F35+F38+F42+F62</f>
        <v>73.640715381284579</v>
      </c>
      <c r="G69" s="19" t="s">
        <v>154</v>
      </c>
      <c r="H69" s="94"/>
      <c r="I69" s="94"/>
    </row>
    <row r="70" spans="2:9" x14ac:dyDescent="0.25">
      <c r="B70" s="22"/>
      <c r="C70" s="22"/>
      <c r="D70" s="22"/>
      <c r="E70" s="22"/>
      <c r="F70" s="22"/>
      <c r="G70" s="22"/>
      <c r="H70" s="97"/>
      <c r="I70" s="97"/>
    </row>
    <row r="71" spans="2:9" x14ac:dyDescent="0.25">
      <c r="B71" s="22"/>
      <c r="C71" s="22"/>
      <c r="D71" s="22"/>
      <c r="E71" s="22"/>
      <c r="F71" s="22"/>
      <c r="G71" s="22"/>
      <c r="H71" s="97"/>
      <c r="I71" s="97"/>
    </row>
    <row r="72" spans="2:9" ht="19.5" x14ac:dyDescent="0.3">
      <c r="B72" s="154" t="s">
        <v>155</v>
      </c>
      <c r="C72" s="154"/>
      <c r="D72" s="154"/>
      <c r="E72" s="154"/>
      <c r="F72" s="154"/>
      <c r="G72" s="154"/>
      <c r="H72" s="97"/>
      <c r="I72" s="97"/>
    </row>
    <row r="73" spans="2:9" x14ac:dyDescent="0.25">
      <c r="B73" s="23"/>
      <c r="C73" s="23"/>
      <c r="D73" s="23"/>
      <c r="E73" s="23"/>
      <c r="F73" s="23"/>
      <c r="G73" s="23"/>
      <c r="H73" s="97"/>
      <c r="I73" s="97"/>
    </row>
    <row r="74" spans="2:9" ht="30" x14ac:dyDescent="0.25">
      <c r="B74" s="18">
        <v>10</v>
      </c>
      <c r="C74" s="16" t="s">
        <v>156</v>
      </c>
      <c r="D74" s="20" t="s">
        <v>157</v>
      </c>
      <c r="E74" s="31" t="s">
        <v>21</v>
      </c>
      <c r="F74" s="17">
        <f>(F75*F76*F77/F78)+F80*F81*F79*F83*F84/(12*F82)</f>
        <v>1458620.0030892447</v>
      </c>
      <c r="G74" s="19" t="s">
        <v>261</v>
      </c>
      <c r="H74" s="97"/>
      <c r="I74" s="97"/>
    </row>
    <row r="75" spans="2:9" ht="17.25" x14ac:dyDescent="0.25">
      <c r="B75" s="80" t="s">
        <v>158</v>
      </c>
      <c r="C75" s="16" t="s">
        <v>159</v>
      </c>
      <c r="D75" s="15" t="s">
        <v>153</v>
      </c>
      <c r="E75" s="31" t="s">
        <v>11</v>
      </c>
      <c r="F75" s="17">
        <f>F69</f>
        <v>73.640715381284579</v>
      </c>
      <c r="G75" s="19" t="s">
        <v>12</v>
      </c>
      <c r="H75" s="97"/>
      <c r="I75" s="97"/>
    </row>
    <row r="76" spans="2:9" ht="30" x14ac:dyDescent="0.25">
      <c r="B76" s="18" t="s">
        <v>160</v>
      </c>
      <c r="C76" s="16" t="s">
        <v>161</v>
      </c>
      <c r="D76" s="15" t="s">
        <v>262</v>
      </c>
      <c r="E76" s="31" t="s">
        <v>144</v>
      </c>
      <c r="F76" s="20">
        <v>1.0960000000000001</v>
      </c>
      <c r="G76" s="19" t="s">
        <v>16</v>
      </c>
      <c r="H76" s="97"/>
      <c r="I76" s="97"/>
    </row>
    <row r="77" spans="2:9" ht="23.1" customHeight="1" x14ac:dyDescent="0.25">
      <c r="B77" s="18" t="s">
        <v>162</v>
      </c>
      <c r="C77" s="16" t="s">
        <v>18</v>
      </c>
      <c r="D77" s="15" t="s">
        <v>17</v>
      </c>
      <c r="E77" s="31" t="s">
        <v>19</v>
      </c>
      <c r="F77" s="122">
        <v>16445.8</v>
      </c>
      <c r="G77" s="111" t="s">
        <v>375</v>
      </c>
      <c r="H77" s="97"/>
      <c r="I77" s="97"/>
    </row>
    <row r="78" spans="2:9" ht="32.450000000000003" customHeight="1" x14ac:dyDescent="0.25">
      <c r="B78" s="18" t="s">
        <v>163</v>
      </c>
      <c r="C78" s="16" t="s">
        <v>164</v>
      </c>
      <c r="D78" s="15" t="s">
        <v>165</v>
      </c>
      <c r="E78" s="31" t="s">
        <v>16</v>
      </c>
      <c r="F78" s="85">
        <v>0.91</v>
      </c>
      <c r="G78" s="111" t="s">
        <v>314</v>
      </c>
      <c r="H78" s="97"/>
      <c r="I78" s="97"/>
    </row>
    <row r="79" spans="2:9" ht="21" customHeight="1" x14ac:dyDescent="0.25">
      <c r="B79" s="80" t="s">
        <v>166</v>
      </c>
      <c r="C79" s="16" t="s">
        <v>265</v>
      </c>
      <c r="D79" s="15" t="s">
        <v>266</v>
      </c>
      <c r="E79" s="31" t="s">
        <v>182</v>
      </c>
      <c r="F79" s="81">
        <v>1</v>
      </c>
      <c r="G79" s="19" t="s">
        <v>267</v>
      </c>
      <c r="H79" s="97"/>
      <c r="I79" s="97"/>
    </row>
    <row r="80" spans="2:9" ht="20.100000000000001" customHeight="1" x14ac:dyDescent="0.25">
      <c r="B80" s="80" t="s">
        <v>167</v>
      </c>
      <c r="C80" s="16" t="s">
        <v>263</v>
      </c>
      <c r="D80" s="15" t="s">
        <v>168</v>
      </c>
      <c r="E80" s="31" t="s">
        <v>169</v>
      </c>
      <c r="F80" s="110">
        <v>1</v>
      </c>
      <c r="G80" s="85" t="s">
        <v>170</v>
      </c>
      <c r="H80" s="97"/>
      <c r="I80" s="97"/>
    </row>
    <row r="81" spans="2:9" ht="39.6" customHeight="1" x14ac:dyDescent="0.25">
      <c r="B81" s="80" t="s">
        <v>171</v>
      </c>
      <c r="C81" s="16" t="s">
        <v>172</v>
      </c>
      <c r="D81" s="15" t="s">
        <v>173</v>
      </c>
      <c r="E81" s="31" t="s">
        <v>21</v>
      </c>
      <c r="F81" s="112">
        <v>0</v>
      </c>
      <c r="G81" s="85" t="s">
        <v>174</v>
      </c>
      <c r="H81" s="97"/>
      <c r="I81" s="97"/>
    </row>
    <row r="82" spans="2:9" ht="18" customHeight="1" x14ac:dyDescent="0.25">
      <c r="B82" s="80" t="s">
        <v>175</v>
      </c>
      <c r="C82" s="16" t="s">
        <v>176</v>
      </c>
      <c r="D82" s="15" t="s">
        <v>177</v>
      </c>
      <c r="E82" s="31" t="s">
        <v>178</v>
      </c>
      <c r="F82" s="32">
        <v>7</v>
      </c>
      <c r="G82" s="19" t="s">
        <v>264</v>
      </c>
      <c r="H82" s="97"/>
      <c r="I82" s="97"/>
    </row>
    <row r="83" spans="2:9" ht="41.1" customHeight="1" x14ac:dyDescent="0.25">
      <c r="B83" s="80" t="s">
        <v>179</v>
      </c>
      <c r="C83" s="16" t="s">
        <v>180</v>
      </c>
      <c r="D83" s="15" t="s">
        <v>181</v>
      </c>
      <c r="E83" s="31" t="s">
        <v>182</v>
      </c>
      <c r="F83" s="65">
        <v>1.046</v>
      </c>
      <c r="G83" s="19" t="s">
        <v>183</v>
      </c>
      <c r="H83" s="97"/>
      <c r="I83" s="97"/>
    </row>
    <row r="84" spans="2:9" ht="21" customHeight="1" x14ac:dyDescent="0.25">
      <c r="B84" s="82" t="s">
        <v>268</v>
      </c>
      <c r="C84" s="16" t="s">
        <v>184</v>
      </c>
      <c r="D84" s="15" t="s">
        <v>185</v>
      </c>
      <c r="E84" s="31" t="s">
        <v>219</v>
      </c>
      <c r="F84" s="126">
        <v>7</v>
      </c>
      <c r="G84" s="111" t="s">
        <v>375</v>
      </c>
      <c r="H84" s="97"/>
      <c r="I84" s="97"/>
    </row>
    <row r="85" spans="2:9" ht="34.5" customHeight="1" x14ac:dyDescent="0.25">
      <c r="B85" s="80" t="s">
        <v>298</v>
      </c>
      <c r="C85" s="16" t="s">
        <v>240</v>
      </c>
      <c r="D85" s="15" t="s">
        <v>239</v>
      </c>
      <c r="E85" s="31" t="s">
        <v>19</v>
      </c>
      <c r="F85" s="127">
        <f>4*30.3*138.2</f>
        <v>16749.84</v>
      </c>
      <c r="G85" s="85"/>
      <c r="H85" s="97"/>
      <c r="I85" s="97"/>
    </row>
    <row r="86" spans="2:9" ht="24.6" customHeight="1" x14ac:dyDescent="0.25">
      <c r="B86" s="82" t="s">
        <v>299</v>
      </c>
      <c r="C86" s="19" t="s">
        <v>269</v>
      </c>
      <c r="D86" s="15" t="s">
        <v>186</v>
      </c>
      <c r="E86" s="31" t="s">
        <v>187</v>
      </c>
      <c r="F86" s="114">
        <f>F77*29</f>
        <v>476928.19999999995</v>
      </c>
      <c r="G86" s="85" t="s">
        <v>188</v>
      </c>
      <c r="H86" s="97"/>
      <c r="I86" s="97"/>
    </row>
    <row r="87" spans="2:9" ht="18" customHeight="1" x14ac:dyDescent="0.25">
      <c r="B87" s="80" t="s">
        <v>300</v>
      </c>
      <c r="C87" s="19" t="s">
        <v>270</v>
      </c>
      <c r="D87" s="15" t="s">
        <v>189</v>
      </c>
      <c r="E87" s="31" t="s">
        <v>187</v>
      </c>
      <c r="F87" s="114">
        <f>F86</f>
        <v>476928.19999999995</v>
      </c>
      <c r="G87" s="85" t="s">
        <v>190</v>
      </c>
      <c r="H87" s="97"/>
      <c r="I87" s="97"/>
    </row>
    <row r="88" spans="2:9" ht="27" customHeight="1" x14ac:dyDescent="0.25">
      <c r="B88" s="82" t="s">
        <v>301</v>
      </c>
      <c r="C88" s="19" t="s">
        <v>295</v>
      </c>
      <c r="D88" s="15" t="s">
        <v>191</v>
      </c>
      <c r="E88" s="31" t="s">
        <v>21</v>
      </c>
      <c r="F88" s="141">
        <v>307414</v>
      </c>
      <c r="G88" s="85" t="s">
        <v>296</v>
      </c>
      <c r="H88" s="97"/>
      <c r="I88" s="97"/>
    </row>
    <row r="89" spans="2:9" ht="27.75" customHeight="1" x14ac:dyDescent="0.25">
      <c r="B89" s="80" t="s">
        <v>302</v>
      </c>
      <c r="C89" s="18" t="s">
        <v>192</v>
      </c>
      <c r="D89" s="15" t="s">
        <v>193</v>
      </c>
      <c r="E89" s="15" t="s">
        <v>182</v>
      </c>
      <c r="F89" s="113">
        <v>1.0409999999999999</v>
      </c>
      <c r="G89" s="84" t="s">
        <v>294</v>
      </c>
      <c r="H89" s="97"/>
      <c r="I89" s="97"/>
    </row>
    <row r="90" spans="2:9" ht="20.25" customHeight="1" x14ac:dyDescent="0.25">
      <c r="B90" s="82" t="s">
        <v>303</v>
      </c>
      <c r="C90" s="18"/>
      <c r="D90" s="15" t="s">
        <v>231</v>
      </c>
      <c r="E90" s="31" t="s">
        <v>21</v>
      </c>
      <c r="F90" s="83">
        <v>0</v>
      </c>
      <c r="G90" s="84" t="s">
        <v>233</v>
      </c>
      <c r="H90" s="97"/>
      <c r="I90" s="97"/>
    </row>
    <row r="91" spans="2:9" ht="26.25" customHeight="1" x14ac:dyDescent="0.25">
      <c r="B91" s="80" t="s">
        <v>304</v>
      </c>
      <c r="C91" s="18"/>
      <c r="D91" s="15" t="s">
        <v>232</v>
      </c>
      <c r="E91" s="31" t="s">
        <v>21</v>
      </c>
      <c r="F91" s="83">
        <v>0</v>
      </c>
      <c r="G91" s="84" t="s">
        <v>234</v>
      </c>
      <c r="H91" s="97"/>
      <c r="I91" s="97"/>
    </row>
    <row r="92" spans="2:9" ht="41.25" customHeight="1" x14ac:dyDescent="0.25">
      <c r="B92" s="82" t="s">
        <v>305</v>
      </c>
      <c r="C92" s="18"/>
      <c r="D92" s="15" t="s">
        <v>236</v>
      </c>
      <c r="E92" s="31" t="s">
        <v>182</v>
      </c>
      <c r="F92" s="83">
        <v>1</v>
      </c>
      <c r="G92" s="84" t="s">
        <v>237</v>
      </c>
      <c r="H92" s="97"/>
      <c r="I92" s="97"/>
    </row>
    <row r="93" spans="2:9" x14ac:dyDescent="0.25">
      <c r="B93" s="80" t="s">
        <v>306</v>
      </c>
      <c r="C93" s="18"/>
      <c r="D93" s="15" t="s">
        <v>194</v>
      </c>
      <c r="E93" s="15"/>
      <c r="F93" s="90">
        <f>F74-F88</f>
        <v>1151206.0030892447</v>
      </c>
      <c r="G93" s="19" t="s">
        <v>235</v>
      </c>
      <c r="H93" s="97"/>
      <c r="I93" s="97"/>
    </row>
    <row r="94" spans="2:9" x14ac:dyDescent="0.25">
      <c r="B94" s="93"/>
      <c r="C94" s="93"/>
      <c r="D94" s="93"/>
      <c r="E94" s="93"/>
      <c r="F94" s="95"/>
      <c r="G94" s="96"/>
      <c r="H94" s="97"/>
      <c r="I94" s="97"/>
    </row>
    <row r="95" spans="2:9" x14ac:dyDescent="0.25">
      <c r="B95" s="93"/>
      <c r="C95" s="93"/>
      <c r="D95" s="98"/>
      <c r="E95" s="98"/>
      <c r="F95" s="96"/>
      <c r="G95" s="99"/>
      <c r="H95" s="97"/>
      <c r="I95" s="97"/>
    </row>
    <row r="96" spans="2:9" x14ac:dyDescent="0.25">
      <c r="B96" s="100"/>
      <c r="C96" s="100"/>
      <c r="D96" s="100"/>
      <c r="E96" s="100"/>
      <c r="F96" s="101"/>
      <c r="G96" s="102"/>
      <c r="H96" s="100"/>
      <c r="I96" s="100"/>
    </row>
  </sheetData>
  <mergeCells count="12">
    <mergeCell ref="B72:G72"/>
    <mergeCell ref="B1:G1"/>
    <mergeCell ref="C2:G2"/>
    <mergeCell ref="C5:G5"/>
    <mergeCell ref="C17:G17"/>
    <mergeCell ref="C20:G20"/>
    <mergeCell ref="C25:G25"/>
    <mergeCell ref="C34:G34"/>
    <mergeCell ref="C37:G37"/>
    <mergeCell ref="C41:G41"/>
    <mergeCell ref="C61:G61"/>
    <mergeCell ref="C68:G68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I96"/>
  <sheetViews>
    <sheetView topLeftCell="A75" zoomScale="80" zoomScaleNormal="80" workbookViewId="0">
      <selection activeCell="G78" sqref="G78"/>
    </sheetView>
  </sheetViews>
  <sheetFormatPr defaultRowHeight="15" x14ac:dyDescent="0.25"/>
  <cols>
    <col min="2" max="2" width="11.42578125" customWidth="1"/>
    <col min="3" max="3" width="48" customWidth="1"/>
    <col min="4" max="4" width="12.5703125" customWidth="1"/>
    <col min="6" max="6" width="16.42578125" customWidth="1"/>
    <col min="7" max="7" width="46.5703125" customWidth="1"/>
    <col min="8" max="8" width="52.140625" customWidth="1"/>
  </cols>
  <sheetData>
    <row r="1" spans="2:9" ht="19.5" x14ac:dyDescent="0.3">
      <c r="B1" s="158" t="s">
        <v>0</v>
      </c>
      <c r="C1" s="158"/>
      <c r="D1" s="158"/>
      <c r="E1" s="158"/>
      <c r="F1" s="158"/>
      <c r="G1" s="158"/>
      <c r="H1" s="1"/>
      <c r="I1" s="1"/>
    </row>
    <row r="2" spans="2:9" ht="19.5" x14ac:dyDescent="0.3">
      <c r="B2" s="118"/>
      <c r="C2" s="158" t="s">
        <v>325</v>
      </c>
      <c r="D2" s="158"/>
      <c r="E2" s="158"/>
      <c r="F2" s="158"/>
      <c r="G2" s="158"/>
      <c r="H2" s="1"/>
      <c r="I2" s="1"/>
    </row>
    <row r="3" spans="2:9" ht="15.75" thickBot="1" x14ac:dyDescent="0.3">
      <c r="B3" s="1"/>
      <c r="C3" s="1"/>
      <c r="D3" s="1"/>
      <c r="E3" s="1"/>
      <c r="F3" s="1"/>
      <c r="G3" s="1"/>
      <c r="H3" s="1"/>
      <c r="I3" s="1"/>
    </row>
    <row r="4" spans="2:9" ht="30.75" thickBot="1" x14ac:dyDescent="0.3">
      <c r="B4" s="13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7" t="s">
        <v>6</v>
      </c>
      <c r="H4" s="94"/>
      <c r="I4" s="94"/>
    </row>
    <row r="5" spans="2:9" ht="17.25" thickBot="1" x14ac:dyDescent="0.3">
      <c r="B5" s="24" t="s">
        <v>7</v>
      </c>
      <c r="C5" s="159" t="s">
        <v>275</v>
      </c>
      <c r="D5" s="159"/>
      <c r="E5" s="159"/>
      <c r="F5" s="159"/>
      <c r="G5" s="160"/>
      <c r="H5" s="94"/>
      <c r="I5" s="94"/>
    </row>
    <row r="6" spans="2:9" ht="30" x14ac:dyDescent="0.25">
      <c r="B6" s="25">
        <v>1</v>
      </c>
      <c r="C6" s="26" t="s">
        <v>9</v>
      </c>
      <c r="D6" s="27" t="s">
        <v>10</v>
      </c>
      <c r="E6" s="28" t="s">
        <v>11</v>
      </c>
      <c r="F6" s="92">
        <f>((F7*F8)/F16)*F12*F13*(F14/F15)</f>
        <v>9.5710157941906218</v>
      </c>
      <c r="G6" s="29" t="s">
        <v>238</v>
      </c>
      <c r="H6" s="94"/>
      <c r="I6" s="94"/>
    </row>
    <row r="7" spans="2:9" x14ac:dyDescent="0.25">
      <c r="B7" s="30" t="s">
        <v>13</v>
      </c>
      <c r="C7" s="16" t="s">
        <v>14</v>
      </c>
      <c r="D7" s="15">
        <v>12</v>
      </c>
      <c r="E7" s="31" t="s">
        <v>15</v>
      </c>
      <c r="F7" s="32">
        <v>7</v>
      </c>
      <c r="G7" s="33"/>
      <c r="H7" s="94"/>
      <c r="I7" s="94"/>
    </row>
    <row r="8" spans="2:9" x14ac:dyDescent="0.25">
      <c r="B8" s="34" t="s">
        <v>20</v>
      </c>
      <c r="C8" s="16" t="s">
        <v>274</v>
      </c>
      <c r="D8" s="15" t="s">
        <v>206</v>
      </c>
      <c r="E8" s="31" t="s">
        <v>21</v>
      </c>
      <c r="F8" s="17">
        <f>F9*F10*F11</f>
        <v>88051.199999999997</v>
      </c>
      <c r="G8" s="33" t="s">
        <v>286</v>
      </c>
      <c r="H8" s="94"/>
      <c r="I8" s="94"/>
    </row>
    <row r="9" spans="2:9" ht="45" x14ac:dyDescent="0.25">
      <c r="B9" s="35" t="s">
        <v>22</v>
      </c>
      <c r="C9" s="16" t="s">
        <v>23</v>
      </c>
      <c r="D9" s="15" t="s">
        <v>24</v>
      </c>
      <c r="E9" s="31" t="s">
        <v>21</v>
      </c>
      <c r="F9" s="87">
        <v>68790</v>
      </c>
      <c r="G9" s="88" t="str">
        <f>'500'!G9</f>
        <v xml:space="preserve">согласно фактическим данным предриятий за 2024г. </v>
      </c>
      <c r="H9" s="94"/>
      <c r="I9" s="94"/>
    </row>
    <row r="10" spans="2:9" ht="45" x14ac:dyDescent="0.25">
      <c r="B10" s="30" t="s">
        <v>25</v>
      </c>
      <c r="C10" s="37" t="s">
        <v>26</v>
      </c>
      <c r="D10" s="38" t="s">
        <v>27</v>
      </c>
      <c r="E10" s="31" t="s">
        <v>12</v>
      </c>
      <c r="F10" s="39">
        <v>1.28</v>
      </c>
      <c r="G10" s="33" t="s">
        <v>271</v>
      </c>
      <c r="H10" s="94"/>
      <c r="I10" s="94"/>
    </row>
    <row r="11" spans="2:9" ht="45" x14ac:dyDescent="0.25">
      <c r="B11" s="30" t="s">
        <v>28</v>
      </c>
      <c r="C11" s="37" t="s">
        <v>29</v>
      </c>
      <c r="D11" s="38" t="s">
        <v>30</v>
      </c>
      <c r="E11" s="31" t="s">
        <v>12</v>
      </c>
      <c r="F11" s="39">
        <v>1</v>
      </c>
      <c r="G11" s="33" t="s">
        <v>31</v>
      </c>
      <c r="H11" s="94"/>
      <c r="I11" s="94"/>
    </row>
    <row r="12" spans="2:9" ht="30" x14ac:dyDescent="0.25">
      <c r="B12" s="30" t="s">
        <v>32</v>
      </c>
      <c r="C12" s="16" t="s">
        <v>33</v>
      </c>
      <c r="D12" s="15" t="s">
        <v>34</v>
      </c>
      <c r="E12" s="31" t="s">
        <v>8</v>
      </c>
      <c r="F12" s="103">
        <v>348</v>
      </c>
      <c r="G12" s="88" t="s">
        <v>388</v>
      </c>
      <c r="H12" s="94"/>
      <c r="I12" s="94"/>
    </row>
    <row r="13" spans="2:9" ht="75" x14ac:dyDescent="0.25">
      <c r="B13" s="30" t="s">
        <v>35</v>
      </c>
      <c r="C13" s="40" t="s">
        <v>272</v>
      </c>
      <c r="D13" s="15" t="s">
        <v>36</v>
      </c>
      <c r="E13" s="31" t="s">
        <v>182</v>
      </c>
      <c r="F13" s="39">
        <v>1.06</v>
      </c>
      <c r="G13" s="33"/>
      <c r="H13" s="94"/>
      <c r="I13" s="94"/>
    </row>
    <row r="14" spans="2:9" ht="36" customHeight="1" x14ac:dyDescent="0.25">
      <c r="B14" s="30" t="s">
        <v>37</v>
      </c>
      <c r="C14" s="16" t="s">
        <v>38</v>
      </c>
      <c r="D14" s="15" t="s">
        <v>39</v>
      </c>
      <c r="E14" s="15" t="s">
        <v>182</v>
      </c>
      <c r="F14" s="104">
        <v>1.0469999999999999</v>
      </c>
      <c r="G14" s="33" t="str">
        <f>'500'!G14</f>
        <v>Индекс потребительский цен из прогноза Минэкономразвития РФ</v>
      </c>
      <c r="H14" s="94"/>
      <c r="I14" s="94"/>
    </row>
    <row r="15" spans="2:9" x14ac:dyDescent="0.25">
      <c r="B15" s="34" t="s">
        <v>41</v>
      </c>
      <c r="C15" s="16" t="s">
        <v>18</v>
      </c>
      <c r="D15" s="15" t="s">
        <v>17</v>
      </c>
      <c r="E15" s="31" t="s">
        <v>19</v>
      </c>
      <c r="F15" s="122">
        <v>14036</v>
      </c>
      <c r="G15" s="88" t="s">
        <v>388</v>
      </c>
      <c r="H15" s="94"/>
      <c r="I15" s="94"/>
    </row>
    <row r="16" spans="2:9" ht="30.75" thickBot="1" x14ac:dyDescent="0.3">
      <c r="B16" s="41" t="s">
        <v>42</v>
      </c>
      <c r="C16" s="42" t="s">
        <v>241</v>
      </c>
      <c r="D16" s="43" t="s">
        <v>207</v>
      </c>
      <c r="E16" s="52" t="s">
        <v>8</v>
      </c>
      <c r="F16" s="44">
        <v>1772</v>
      </c>
      <c r="G16" s="45"/>
      <c r="H16" s="94"/>
      <c r="I16" s="94"/>
    </row>
    <row r="17" spans="2:9" ht="17.25" thickBot="1" x14ac:dyDescent="0.3">
      <c r="B17" s="46" t="s">
        <v>45</v>
      </c>
      <c r="C17" s="161" t="s">
        <v>276</v>
      </c>
      <c r="D17" s="162"/>
      <c r="E17" s="162"/>
      <c r="F17" s="162"/>
      <c r="G17" s="163"/>
      <c r="H17" s="94"/>
      <c r="I17" s="94"/>
    </row>
    <row r="18" spans="2:9" ht="60" x14ac:dyDescent="0.25">
      <c r="B18" s="25">
        <v>2</v>
      </c>
      <c r="C18" s="47" t="s">
        <v>46</v>
      </c>
      <c r="D18" s="27" t="s">
        <v>208</v>
      </c>
      <c r="E18" s="28" t="s">
        <v>11</v>
      </c>
      <c r="F18" s="115">
        <f>F6*F19</f>
        <v>0</v>
      </c>
      <c r="G18" s="116" t="s">
        <v>307</v>
      </c>
      <c r="H18" s="117" t="s">
        <v>309</v>
      </c>
      <c r="I18" s="94"/>
    </row>
    <row r="19" spans="2:9" ht="135.75" thickBot="1" x14ac:dyDescent="0.3">
      <c r="B19" s="48" t="s">
        <v>308</v>
      </c>
      <c r="C19" s="16" t="s">
        <v>273</v>
      </c>
      <c r="D19" s="15" t="s">
        <v>243</v>
      </c>
      <c r="E19" s="31" t="s">
        <v>182</v>
      </c>
      <c r="F19" s="83">
        <v>0</v>
      </c>
      <c r="G19" s="88" t="s">
        <v>242</v>
      </c>
      <c r="H19" s="94"/>
      <c r="I19" s="94"/>
    </row>
    <row r="20" spans="2:9" ht="16.5" x14ac:dyDescent="0.25">
      <c r="B20" s="49" t="s">
        <v>48</v>
      </c>
      <c r="C20" s="155" t="s">
        <v>277</v>
      </c>
      <c r="D20" s="156"/>
      <c r="E20" s="156"/>
      <c r="F20" s="156"/>
      <c r="G20" s="157"/>
      <c r="H20" s="94"/>
      <c r="I20" s="94"/>
    </row>
    <row r="21" spans="2:9" ht="30" x14ac:dyDescent="0.25">
      <c r="B21" s="18">
        <v>3</v>
      </c>
      <c r="C21" s="16" t="s">
        <v>49</v>
      </c>
      <c r="D21" s="15" t="s">
        <v>50</v>
      </c>
      <c r="E21" s="31" t="s">
        <v>11</v>
      </c>
      <c r="F21" s="50">
        <f>SUM(F22+F23)*(F24/100)</f>
        <v>2.8904467698455676</v>
      </c>
      <c r="G21" s="19" t="s">
        <v>244</v>
      </c>
      <c r="H21" s="94"/>
      <c r="I21" s="94"/>
    </row>
    <row r="22" spans="2:9" ht="30" x14ac:dyDescent="0.25">
      <c r="B22" s="18" t="s">
        <v>51</v>
      </c>
      <c r="C22" s="16" t="s">
        <v>52</v>
      </c>
      <c r="D22" s="15" t="s">
        <v>10</v>
      </c>
      <c r="E22" s="31" t="s">
        <v>11</v>
      </c>
      <c r="F22" s="109">
        <f>SUM(F6)</f>
        <v>9.5710157941906218</v>
      </c>
      <c r="G22" s="51"/>
      <c r="H22" s="94"/>
      <c r="I22" s="94"/>
    </row>
    <row r="23" spans="2:9" ht="30" x14ac:dyDescent="0.25">
      <c r="B23" s="18" t="s">
        <v>53</v>
      </c>
      <c r="C23" s="16" t="s">
        <v>46</v>
      </c>
      <c r="D23" s="15" t="s">
        <v>47</v>
      </c>
      <c r="E23" s="31" t="s">
        <v>11</v>
      </c>
      <c r="F23" s="39">
        <f>SUM(F18)</f>
        <v>0</v>
      </c>
      <c r="G23" s="51"/>
      <c r="H23" s="94"/>
      <c r="I23" s="94"/>
    </row>
    <row r="24" spans="2:9" ht="30.75" thickBot="1" x14ac:dyDescent="0.3">
      <c r="B24" s="41" t="s">
        <v>54</v>
      </c>
      <c r="C24" s="42" t="s">
        <v>280</v>
      </c>
      <c r="D24" s="43" t="s">
        <v>56</v>
      </c>
      <c r="E24" s="52" t="s">
        <v>57</v>
      </c>
      <c r="F24" s="53">
        <v>30.2</v>
      </c>
      <c r="G24" s="54" t="s">
        <v>58</v>
      </c>
      <c r="H24" s="94"/>
      <c r="I24" s="94"/>
    </row>
    <row r="25" spans="2:9" ht="16.5" x14ac:dyDescent="0.25">
      <c r="B25" s="55" t="s">
        <v>59</v>
      </c>
      <c r="C25" s="164" t="s">
        <v>278</v>
      </c>
      <c r="D25" s="165"/>
      <c r="E25" s="165"/>
      <c r="F25" s="165"/>
      <c r="G25" s="166"/>
      <c r="H25" s="94"/>
      <c r="I25" s="94"/>
    </row>
    <row r="26" spans="2:9" ht="30" x14ac:dyDescent="0.25">
      <c r="B26" s="18">
        <v>4</v>
      </c>
      <c r="C26" s="56" t="s">
        <v>60</v>
      </c>
      <c r="D26" s="57" t="s">
        <v>61</v>
      </c>
      <c r="E26" s="58" t="s">
        <v>11</v>
      </c>
      <c r="F26" s="59">
        <f>F27*((F28/100)*(1+0.01*F29)+((F30/F31)*(F32/12)))*F33</f>
        <v>22.363806857142858</v>
      </c>
      <c r="G26" s="60" t="s">
        <v>245</v>
      </c>
      <c r="H26" s="94"/>
      <c r="I26" s="94"/>
    </row>
    <row r="27" spans="2:9" x14ac:dyDescent="0.25">
      <c r="B27" s="61" t="s">
        <v>62</v>
      </c>
      <c r="C27" s="16" t="s">
        <v>63</v>
      </c>
      <c r="D27" s="15" t="s">
        <v>64</v>
      </c>
      <c r="E27" s="31" t="s">
        <v>21</v>
      </c>
      <c r="F27" s="87">
        <f>'500'!F27</f>
        <v>72</v>
      </c>
      <c r="G27" s="85" t="s">
        <v>371</v>
      </c>
      <c r="H27" s="94"/>
      <c r="I27" s="94"/>
    </row>
    <row r="28" spans="2:9" ht="119.25" x14ac:dyDescent="0.25">
      <c r="B28" s="61" t="s">
        <v>65</v>
      </c>
      <c r="C28" s="16" t="s">
        <v>279</v>
      </c>
      <c r="D28" s="15" t="s">
        <v>246</v>
      </c>
      <c r="E28" s="31" t="s">
        <v>66</v>
      </c>
      <c r="F28" s="91">
        <v>26.2</v>
      </c>
      <c r="G28" s="85" t="s">
        <v>386</v>
      </c>
      <c r="H28" s="94"/>
      <c r="I28" s="94"/>
    </row>
    <row r="29" spans="2:9" ht="150" x14ac:dyDescent="0.25">
      <c r="B29" s="61" t="s">
        <v>67</v>
      </c>
      <c r="C29" s="16" t="s">
        <v>68</v>
      </c>
      <c r="D29" s="15" t="s">
        <v>69</v>
      </c>
      <c r="E29" s="31" t="s">
        <v>57</v>
      </c>
      <c r="F29" s="36">
        <v>10</v>
      </c>
      <c r="G29" s="19" t="s">
        <v>70</v>
      </c>
      <c r="H29" s="94"/>
      <c r="I29" s="94"/>
    </row>
    <row r="30" spans="2:9" ht="60" x14ac:dyDescent="0.25">
      <c r="B30" s="61" t="s">
        <v>71</v>
      </c>
      <c r="C30" s="16" t="s">
        <v>72</v>
      </c>
      <c r="D30" s="62" t="s">
        <v>247</v>
      </c>
      <c r="E30" s="31" t="s">
        <v>73</v>
      </c>
      <c r="F30" s="105">
        <v>2.5</v>
      </c>
      <c r="G30" s="19" t="s">
        <v>381</v>
      </c>
      <c r="H30" s="94"/>
      <c r="I30" s="94"/>
    </row>
    <row r="31" spans="2:9" ht="30" x14ac:dyDescent="0.25">
      <c r="B31" s="61" t="s">
        <v>74</v>
      </c>
      <c r="C31" s="16" t="s">
        <v>75</v>
      </c>
      <c r="D31" s="62" t="s">
        <v>76</v>
      </c>
      <c r="E31" s="31" t="s">
        <v>77</v>
      </c>
      <c r="F31" s="106">
        <v>70</v>
      </c>
      <c r="G31" s="88"/>
      <c r="H31" s="94"/>
      <c r="I31" s="94"/>
    </row>
    <row r="32" spans="2:9" ht="45" x14ac:dyDescent="0.25">
      <c r="B32" s="61" t="s">
        <v>78</v>
      </c>
      <c r="C32" s="16" t="s">
        <v>79</v>
      </c>
      <c r="D32" s="62" t="s">
        <v>80</v>
      </c>
      <c r="E32" s="31" t="s">
        <v>220</v>
      </c>
      <c r="F32" s="107">
        <v>4</v>
      </c>
      <c r="G32" s="88" t="s">
        <v>391</v>
      </c>
      <c r="H32" s="94"/>
      <c r="I32" s="94"/>
    </row>
    <row r="33" spans="2:9" ht="30" x14ac:dyDescent="0.25">
      <c r="B33" s="61" t="s">
        <v>81</v>
      </c>
      <c r="C33" s="16" t="s">
        <v>82</v>
      </c>
      <c r="D33" s="15" t="s">
        <v>83</v>
      </c>
      <c r="E33" s="15" t="s">
        <v>182</v>
      </c>
      <c r="F33" s="104">
        <v>1.0349999999999999</v>
      </c>
      <c r="G33" s="63" t="s">
        <v>218</v>
      </c>
      <c r="H33" s="94"/>
      <c r="I33" s="94"/>
    </row>
    <row r="34" spans="2:9" ht="16.5" x14ac:dyDescent="0.25">
      <c r="B34" s="18" t="s">
        <v>84</v>
      </c>
      <c r="C34" s="167" t="s">
        <v>281</v>
      </c>
      <c r="D34" s="168"/>
      <c r="E34" s="168"/>
      <c r="F34" s="168"/>
      <c r="G34" s="169"/>
      <c r="H34" s="94"/>
      <c r="I34" s="94"/>
    </row>
    <row r="35" spans="2:9" ht="30" x14ac:dyDescent="0.25">
      <c r="B35" s="18">
        <v>5</v>
      </c>
      <c r="C35" s="16" t="s">
        <v>85</v>
      </c>
      <c r="D35" s="15" t="s">
        <v>86</v>
      </c>
      <c r="E35" s="58" t="s">
        <v>11</v>
      </c>
      <c r="F35" s="64">
        <f>0.075*F36</f>
        <v>1.6772855142857144</v>
      </c>
      <c r="G35" s="19" t="s">
        <v>248</v>
      </c>
      <c r="H35" s="94"/>
      <c r="I35" s="94"/>
    </row>
    <row r="36" spans="2:9" ht="17.25" x14ac:dyDescent="0.25">
      <c r="B36" s="18" t="s">
        <v>87</v>
      </c>
      <c r="C36" s="56" t="s">
        <v>60</v>
      </c>
      <c r="D36" s="57" t="s">
        <v>61</v>
      </c>
      <c r="E36" s="58" t="s">
        <v>11</v>
      </c>
      <c r="F36" s="65">
        <f>SUM(F26)</f>
        <v>22.363806857142858</v>
      </c>
      <c r="G36" s="51" t="s">
        <v>88</v>
      </c>
      <c r="H36" s="94"/>
      <c r="I36" s="94"/>
    </row>
    <row r="37" spans="2:9" ht="16.5" x14ac:dyDescent="0.25">
      <c r="B37" s="18" t="s">
        <v>89</v>
      </c>
      <c r="C37" s="167" t="s">
        <v>282</v>
      </c>
      <c r="D37" s="168"/>
      <c r="E37" s="168"/>
      <c r="F37" s="168"/>
      <c r="G37" s="169"/>
      <c r="H37" s="94"/>
      <c r="I37" s="94"/>
    </row>
    <row r="38" spans="2:9" ht="17.25" x14ac:dyDescent="0.25">
      <c r="B38" s="18">
        <v>6</v>
      </c>
      <c r="C38" s="16" t="s">
        <v>90</v>
      </c>
      <c r="D38" s="15" t="s">
        <v>91</v>
      </c>
      <c r="E38" s="31" t="s">
        <v>11</v>
      </c>
      <c r="F38" s="64">
        <f>F39*F40</f>
        <v>0.69101999999999997</v>
      </c>
      <c r="G38" s="19" t="s">
        <v>249</v>
      </c>
      <c r="H38" s="94"/>
      <c r="I38" s="94"/>
    </row>
    <row r="39" spans="2:9" ht="105" x14ac:dyDescent="0.25">
      <c r="B39" s="18" t="s">
        <v>92</v>
      </c>
      <c r="C39" s="16" t="s">
        <v>93</v>
      </c>
      <c r="D39" s="15" t="s">
        <v>94</v>
      </c>
      <c r="E39" s="31" t="s">
        <v>16</v>
      </c>
      <c r="F39" s="39">
        <v>0.66</v>
      </c>
      <c r="G39" s="19" t="s">
        <v>320</v>
      </c>
      <c r="H39" s="94"/>
      <c r="I39" s="94"/>
    </row>
    <row r="40" spans="2:9" ht="75" x14ac:dyDescent="0.25">
      <c r="B40" s="18" t="s">
        <v>95</v>
      </c>
      <c r="C40" s="16" t="s">
        <v>96</v>
      </c>
      <c r="D40" s="15" t="s">
        <v>97</v>
      </c>
      <c r="E40" s="15" t="s">
        <v>16</v>
      </c>
      <c r="F40" s="104">
        <v>1.0469999999999999</v>
      </c>
      <c r="G40" s="19" t="s">
        <v>98</v>
      </c>
      <c r="H40" s="94"/>
      <c r="I40" s="94"/>
    </row>
    <row r="41" spans="2:9" ht="16.5" x14ac:dyDescent="0.25">
      <c r="B41" s="18" t="s">
        <v>99</v>
      </c>
      <c r="C41" s="151" t="s">
        <v>283</v>
      </c>
      <c r="D41" s="152"/>
      <c r="E41" s="152"/>
      <c r="F41" s="152"/>
      <c r="G41" s="153"/>
      <c r="H41" s="94"/>
      <c r="I41" s="94"/>
    </row>
    <row r="42" spans="2:9" ht="17.25" x14ac:dyDescent="0.25">
      <c r="B42" s="18" t="s">
        <v>100</v>
      </c>
      <c r="C42" s="16" t="s">
        <v>101</v>
      </c>
      <c r="D42" s="15" t="s">
        <v>102</v>
      </c>
      <c r="E42" s="31" t="s">
        <v>11</v>
      </c>
      <c r="F42" s="64">
        <f>F43+F57</f>
        <v>11.841147002745696</v>
      </c>
      <c r="G42" s="19" t="s">
        <v>250</v>
      </c>
      <c r="H42" s="94"/>
      <c r="I42" s="94"/>
    </row>
    <row r="43" spans="2:9" ht="30" x14ac:dyDescent="0.25">
      <c r="B43" s="18" t="s">
        <v>103</v>
      </c>
      <c r="C43" s="16" t="s">
        <v>104</v>
      </c>
      <c r="D43" s="15" t="s">
        <v>105</v>
      </c>
      <c r="E43" s="31" t="s">
        <v>11</v>
      </c>
      <c r="F43" s="39">
        <f>(F45*(F48/F55))*F47*((F52/F46)+(F53*F54))*F44*(1+(F56/100))</f>
        <v>7.1341470027456966</v>
      </c>
      <c r="G43" s="19" t="s">
        <v>251</v>
      </c>
      <c r="H43" s="94"/>
      <c r="I43" s="94"/>
    </row>
    <row r="44" spans="2:9" ht="45" x14ac:dyDescent="0.25">
      <c r="B44" s="18" t="s">
        <v>106</v>
      </c>
      <c r="C44" s="66" t="s">
        <v>107</v>
      </c>
      <c r="D44" s="18">
        <v>1E-3</v>
      </c>
      <c r="E44" s="18" t="s">
        <v>16</v>
      </c>
      <c r="F44" s="18">
        <v>1E-3</v>
      </c>
      <c r="G44" s="67"/>
      <c r="H44" s="94"/>
      <c r="I44" s="94"/>
    </row>
    <row r="45" spans="2:9" x14ac:dyDescent="0.25">
      <c r="B45" s="18" t="s">
        <v>108</v>
      </c>
      <c r="C45" s="16" t="s">
        <v>14</v>
      </c>
      <c r="D45" s="15">
        <v>12</v>
      </c>
      <c r="E45" s="31" t="s">
        <v>15</v>
      </c>
      <c r="F45" s="32">
        <v>7</v>
      </c>
      <c r="G45" s="18" t="s">
        <v>392</v>
      </c>
      <c r="H45" s="94"/>
      <c r="I45" s="94"/>
    </row>
    <row r="46" spans="2:9" ht="60" x14ac:dyDescent="0.25">
      <c r="B46" s="18" t="s">
        <v>109</v>
      </c>
      <c r="C46" s="16" t="s">
        <v>253</v>
      </c>
      <c r="D46" s="15" t="s">
        <v>252</v>
      </c>
      <c r="E46" s="31" t="s">
        <v>182</v>
      </c>
      <c r="F46" s="39">
        <v>0.9</v>
      </c>
      <c r="G46" s="108" t="s">
        <v>358</v>
      </c>
      <c r="H46" s="94"/>
      <c r="I46" s="94"/>
    </row>
    <row r="47" spans="2:9" ht="36.75" customHeight="1" x14ac:dyDescent="0.25">
      <c r="B47" s="30" t="s">
        <v>110</v>
      </c>
      <c r="C47" s="16" t="s">
        <v>38</v>
      </c>
      <c r="D47" s="15" t="s">
        <v>39</v>
      </c>
      <c r="E47" s="15" t="s">
        <v>182</v>
      </c>
      <c r="F47" s="104">
        <v>1.0469999999999999</v>
      </c>
      <c r="G47" s="33" t="str">
        <f>'500'!G47</f>
        <v>Индекс потребительский цен из прогноза Минэкономразвития РФ</v>
      </c>
      <c r="H47" s="94"/>
      <c r="I47" s="94"/>
    </row>
    <row r="48" spans="2:9" ht="30" x14ac:dyDescent="0.25">
      <c r="B48" s="19" t="s">
        <v>111</v>
      </c>
      <c r="C48" s="66" t="s">
        <v>257</v>
      </c>
      <c r="D48" s="15" t="s">
        <v>112</v>
      </c>
      <c r="E48" s="31" t="s">
        <v>21</v>
      </c>
      <c r="F48" s="17">
        <f>F49*F50*F51</f>
        <v>68790</v>
      </c>
      <c r="G48" s="19" t="s">
        <v>113</v>
      </c>
      <c r="H48" s="94"/>
      <c r="I48" s="94"/>
    </row>
    <row r="49" spans="2:9" ht="75" x14ac:dyDescent="0.25">
      <c r="B49" s="18" t="s">
        <v>114</v>
      </c>
      <c r="C49" s="16" t="s">
        <v>115</v>
      </c>
      <c r="D49" s="15" t="s">
        <v>24</v>
      </c>
      <c r="E49" s="31" t="s">
        <v>21</v>
      </c>
      <c r="F49" s="36">
        <f>F9</f>
        <v>68790</v>
      </c>
      <c r="G49" s="88" t="str">
        <f>'500'!G49</f>
        <v xml:space="preserve">согласно фактическим данным предриятий за 2024г. </v>
      </c>
      <c r="H49" s="94"/>
      <c r="I49" s="94"/>
    </row>
    <row r="50" spans="2:9" ht="45" x14ac:dyDescent="0.25">
      <c r="B50" s="18" t="s">
        <v>116</v>
      </c>
      <c r="C50" s="66" t="s">
        <v>284</v>
      </c>
      <c r="D50" s="15" t="s">
        <v>217</v>
      </c>
      <c r="E50" s="15" t="s">
        <v>182</v>
      </c>
      <c r="F50" s="39">
        <v>1</v>
      </c>
      <c r="G50" s="19"/>
      <c r="H50" s="94"/>
      <c r="I50" s="94"/>
    </row>
    <row r="51" spans="2:9" ht="45" x14ac:dyDescent="0.25">
      <c r="B51" s="18" t="s">
        <v>117</v>
      </c>
      <c r="C51" s="68" t="s">
        <v>29</v>
      </c>
      <c r="D51" s="38" t="s">
        <v>30</v>
      </c>
      <c r="E51" s="31" t="s">
        <v>12</v>
      </c>
      <c r="F51" s="39">
        <v>1</v>
      </c>
      <c r="G51" s="33" t="s">
        <v>31</v>
      </c>
      <c r="H51" s="94"/>
      <c r="I51" s="94"/>
    </row>
    <row r="52" spans="2:9" ht="105" x14ac:dyDescent="0.25">
      <c r="B52" s="18" t="s">
        <v>118</v>
      </c>
      <c r="C52" s="16" t="s">
        <v>119</v>
      </c>
      <c r="D52" s="15" t="s">
        <v>120</v>
      </c>
      <c r="E52" s="15" t="s">
        <v>16</v>
      </c>
      <c r="F52" s="39">
        <v>9.3000000000000007</v>
      </c>
      <c r="G52" s="19" t="s">
        <v>321</v>
      </c>
      <c r="H52" s="94"/>
      <c r="I52" s="94"/>
    </row>
    <row r="53" spans="2:9" ht="104.25" x14ac:dyDescent="0.25">
      <c r="B53" s="18" t="s">
        <v>122</v>
      </c>
      <c r="C53" s="16" t="s">
        <v>123</v>
      </c>
      <c r="D53" s="15" t="s">
        <v>124</v>
      </c>
      <c r="E53" s="15" t="s">
        <v>16</v>
      </c>
      <c r="F53" s="18">
        <v>7.8</v>
      </c>
      <c r="G53" s="19" t="s">
        <v>378</v>
      </c>
      <c r="H53" s="94"/>
      <c r="I53" s="94"/>
    </row>
    <row r="54" spans="2:9" ht="45" x14ac:dyDescent="0.25">
      <c r="B54" s="18" t="s">
        <v>125</v>
      </c>
      <c r="C54" s="16" t="s">
        <v>256</v>
      </c>
      <c r="D54" s="20" t="s">
        <v>255</v>
      </c>
      <c r="E54" s="15" t="s">
        <v>16</v>
      </c>
      <c r="F54" s="39">
        <f>SUM('КЗп, КЗ, КЗЧ'!C4)</f>
        <v>1.2</v>
      </c>
      <c r="G54" s="19" t="s">
        <v>254</v>
      </c>
      <c r="H54" s="94"/>
      <c r="I54" s="94"/>
    </row>
    <row r="55" spans="2:9" ht="30" x14ac:dyDescent="0.25">
      <c r="B55" s="18" t="s">
        <v>126</v>
      </c>
      <c r="C55" s="16" t="s">
        <v>43</v>
      </c>
      <c r="D55" s="15" t="s">
        <v>44</v>
      </c>
      <c r="E55" s="15" t="s">
        <v>8</v>
      </c>
      <c r="F55" s="12">
        <v>1812</v>
      </c>
      <c r="G55" s="19"/>
      <c r="H55" s="94"/>
      <c r="I55" s="94"/>
    </row>
    <row r="56" spans="2:9" ht="30" x14ac:dyDescent="0.25">
      <c r="B56" s="18" t="s">
        <v>127</v>
      </c>
      <c r="C56" s="16" t="s">
        <v>55</v>
      </c>
      <c r="D56" s="15" t="s">
        <v>56</v>
      </c>
      <c r="E56" s="31" t="s">
        <v>57</v>
      </c>
      <c r="F56" s="69">
        <v>30.2</v>
      </c>
      <c r="G56" s="19" t="s">
        <v>58</v>
      </c>
      <c r="H56" s="94"/>
      <c r="I56" s="94"/>
    </row>
    <row r="57" spans="2:9" ht="45" x14ac:dyDescent="0.25">
      <c r="B57" s="18" t="s">
        <v>128</v>
      </c>
      <c r="C57" s="16" t="s">
        <v>129</v>
      </c>
      <c r="D57" s="15" t="s">
        <v>130</v>
      </c>
      <c r="E57" s="31" t="s">
        <v>11</v>
      </c>
      <c r="F57" s="39">
        <f>F58*F59*F60</f>
        <v>4.7069999999999999</v>
      </c>
      <c r="G57" s="19" t="s">
        <v>259</v>
      </c>
      <c r="H57" s="94"/>
      <c r="I57" s="94"/>
    </row>
    <row r="58" spans="2:9" ht="105" x14ac:dyDescent="0.25">
      <c r="B58" s="18" t="s">
        <v>131</v>
      </c>
      <c r="C58" s="16" t="s">
        <v>132</v>
      </c>
      <c r="D58" s="15" t="s">
        <v>133</v>
      </c>
      <c r="E58" s="15" t="s">
        <v>182</v>
      </c>
      <c r="F58" s="39">
        <v>3.6</v>
      </c>
      <c r="G58" s="19" t="s">
        <v>323</v>
      </c>
      <c r="H58" s="94"/>
      <c r="I58" s="94"/>
    </row>
    <row r="59" spans="2:9" ht="45" x14ac:dyDescent="0.25">
      <c r="B59" s="18" t="s">
        <v>134</v>
      </c>
      <c r="C59" s="16" t="s">
        <v>258</v>
      </c>
      <c r="D59" s="15" t="s">
        <v>135</v>
      </c>
      <c r="E59" s="15" t="s">
        <v>182</v>
      </c>
      <c r="F59" s="39">
        <f>SUM('КЗп, КЗ, КЗЧ'!D4)</f>
        <v>1.25</v>
      </c>
      <c r="G59" s="19" t="s">
        <v>145</v>
      </c>
      <c r="H59" s="94"/>
      <c r="I59" s="94"/>
    </row>
    <row r="60" spans="2:9" ht="75" x14ac:dyDescent="0.25">
      <c r="B60" s="18" t="s">
        <v>134</v>
      </c>
      <c r="C60" s="16" t="s">
        <v>96</v>
      </c>
      <c r="D60" s="15" t="s">
        <v>97</v>
      </c>
      <c r="E60" s="15" t="s">
        <v>16</v>
      </c>
      <c r="F60" s="89">
        <v>1.046</v>
      </c>
      <c r="G60" s="85" t="s">
        <v>136</v>
      </c>
      <c r="H60" s="94"/>
      <c r="I60" s="94"/>
    </row>
    <row r="61" spans="2:9" ht="16.5" x14ac:dyDescent="0.25">
      <c r="B61" s="70" t="s">
        <v>137</v>
      </c>
      <c r="C61" s="170" t="s">
        <v>138</v>
      </c>
      <c r="D61" s="171"/>
      <c r="E61" s="171"/>
      <c r="F61" s="171"/>
      <c r="G61" s="171"/>
      <c r="H61" s="94"/>
      <c r="I61" s="94"/>
    </row>
    <row r="62" spans="2:9" ht="45" x14ac:dyDescent="0.25">
      <c r="B62" s="18">
        <v>8</v>
      </c>
      <c r="C62" s="63" t="s">
        <v>139</v>
      </c>
      <c r="D62" s="71" t="s">
        <v>140</v>
      </c>
      <c r="E62" s="72" t="s">
        <v>11</v>
      </c>
      <c r="F62" s="50">
        <f>F63*(F64+F65+F66+F67)</f>
        <v>27.612810827501573</v>
      </c>
      <c r="G62" s="19" t="s">
        <v>260</v>
      </c>
      <c r="H62" s="94"/>
      <c r="I62" s="94"/>
    </row>
    <row r="63" spans="2:9" ht="45" x14ac:dyDescent="0.25">
      <c r="B63" s="18" t="s">
        <v>141</v>
      </c>
      <c r="C63" s="37" t="s">
        <v>142</v>
      </c>
      <c r="D63" s="73" t="s">
        <v>143</v>
      </c>
      <c r="E63" s="74" t="s">
        <v>144</v>
      </c>
      <c r="F63" s="18">
        <v>0.755</v>
      </c>
      <c r="G63" s="19" t="s">
        <v>360</v>
      </c>
      <c r="H63" s="94"/>
      <c r="I63" s="94"/>
    </row>
    <row r="64" spans="2:9" ht="17.25" x14ac:dyDescent="0.25">
      <c r="B64" s="18" t="s">
        <v>146</v>
      </c>
      <c r="C64" s="56" t="s">
        <v>60</v>
      </c>
      <c r="D64" s="57" t="s">
        <v>61</v>
      </c>
      <c r="E64" s="58" t="s">
        <v>11</v>
      </c>
      <c r="F64" s="75">
        <f>F36</f>
        <v>22.363806857142858</v>
      </c>
      <c r="G64" s="76"/>
      <c r="H64" s="94"/>
      <c r="I64" s="94"/>
    </row>
    <row r="65" spans="2:9" ht="30" x14ac:dyDescent="0.25">
      <c r="B65" s="18" t="s">
        <v>147</v>
      </c>
      <c r="C65" s="16" t="s">
        <v>85</v>
      </c>
      <c r="D65" s="15" t="s">
        <v>86</v>
      </c>
      <c r="E65" s="58" t="s">
        <v>11</v>
      </c>
      <c r="F65" s="77">
        <f>F35</f>
        <v>1.6772855142857144</v>
      </c>
      <c r="G65" s="78"/>
      <c r="H65" s="94"/>
      <c r="I65" s="94"/>
    </row>
    <row r="66" spans="2:9" ht="17.25" x14ac:dyDescent="0.25">
      <c r="B66" s="21" t="s">
        <v>148</v>
      </c>
      <c r="C66" s="16" t="s">
        <v>90</v>
      </c>
      <c r="D66" s="15" t="s">
        <v>91</v>
      </c>
      <c r="E66" s="31" t="s">
        <v>11</v>
      </c>
      <c r="F66" s="77">
        <f>F38</f>
        <v>0.69101999999999997</v>
      </c>
      <c r="G66" s="78"/>
      <c r="H66" s="94"/>
      <c r="I66" s="94"/>
    </row>
    <row r="67" spans="2:9" ht="17.25" x14ac:dyDescent="0.25">
      <c r="B67" s="21" t="s">
        <v>149</v>
      </c>
      <c r="C67" s="16" t="s">
        <v>101</v>
      </c>
      <c r="D67" s="15" t="s">
        <v>102</v>
      </c>
      <c r="E67" s="31" t="s">
        <v>11</v>
      </c>
      <c r="F67" s="77">
        <f>F42</f>
        <v>11.841147002745696</v>
      </c>
      <c r="G67" s="78"/>
      <c r="H67" s="94"/>
      <c r="I67" s="94"/>
    </row>
    <row r="68" spans="2:9" ht="16.5" x14ac:dyDescent="0.25">
      <c r="B68" s="21" t="s">
        <v>150</v>
      </c>
      <c r="C68" s="151" t="s">
        <v>151</v>
      </c>
      <c r="D68" s="152"/>
      <c r="E68" s="152"/>
      <c r="F68" s="152"/>
      <c r="G68" s="153"/>
      <c r="H68" s="94"/>
      <c r="I68" s="94"/>
    </row>
    <row r="69" spans="2:9" ht="31.5" x14ac:dyDescent="0.25">
      <c r="B69" s="18">
        <v>9</v>
      </c>
      <c r="C69" s="16" t="s">
        <v>152</v>
      </c>
      <c r="D69" s="15" t="s">
        <v>153</v>
      </c>
      <c r="E69" s="31" t="s">
        <v>11</v>
      </c>
      <c r="F69" s="79">
        <f>F6+F18+F21+F26+F35+F38+F42+F62</f>
        <v>76.647532765712029</v>
      </c>
      <c r="G69" s="19" t="s">
        <v>154</v>
      </c>
      <c r="H69" s="94"/>
      <c r="I69" s="94"/>
    </row>
    <row r="70" spans="2:9" x14ac:dyDescent="0.25">
      <c r="B70" s="22"/>
      <c r="C70" s="22"/>
      <c r="D70" s="22"/>
      <c r="E70" s="22"/>
      <c r="F70" s="22"/>
      <c r="G70" s="22"/>
      <c r="H70" s="97"/>
      <c r="I70" s="97"/>
    </row>
    <row r="71" spans="2:9" x14ac:dyDescent="0.25">
      <c r="B71" s="22"/>
      <c r="C71" s="22"/>
      <c r="D71" s="22"/>
      <c r="E71" s="22"/>
      <c r="F71" s="22"/>
      <c r="G71" s="22"/>
      <c r="H71" s="97"/>
      <c r="I71" s="97"/>
    </row>
    <row r="72" spans="2:9" ht="19.5" x14ac:dyDescent="0.3">
      <c r="B72" s="154" t="s">
        <v>155</v>
      </c>
      <c r="C72" s="154"/>
      <c r="D72" s="154"/>
      <c r="E72" s="154"/>
      <c r="F72" s="154"/>
      <c r="G72" s="154"/>
      <c r="H72" s="97"/>
      <c r="I72" s="97"/>
    </row>
    <row r="73" spans="2:9" x14ac:dyDescent="0.25">
      <c r="B73" s="23"/>
      <c r="C73" s="23"/>
      <c r="D73" s="23"/>
      <c r="E73" s="23"/>
      <c r="F73" s="23"/>
      <c r="G73" s="23"/>
      <c r="H73" s="97"/>
      <c r="I73" s="97"/>
    </row>
    <row r="74" spans="2:9" ht="30" x14ac:dyDescent="0.25">
      <c r="B74" s="18">
        <v>10</v>
      </c>
      <c r="C74" s="16" t="s">
        <v>156</v>
      </c>
      <c r="D74" s="20" t="s">
        <v>157</v>
      </c>
      <c r="E74" s="31" t="s">
        <v>21</v>
      </c>
      <c r="F74" s="17">
        <f>(F75*F76*F77/F78)+F80*F81*F79*F83*F84/(12*F82)</f>
        <v>1295718.6239669113</v>
      </c>
      <c r="G74" s="19" t="s">
        <v>261</v>
      </c>
      <c r="H74" s="97"/>
      <c r="I74" s="97"/>
    </row>
    <row r="75" spans="2:9" ht="17.25" x14ac:dyDescent="0.25">
      <c r="B75" s="80" t="s">
        <v>158</v>
      </c>
      <c r="C75" s="16" t="s">
        <v>159</v>
      </c>
      <c r="D75" s="15" t="s">
        <v>153</v>
      </c>
      <c r="E75" s="31" t="s">
        <v>11</v>
      </c>
      <c r="F75" s="17">
        <f>F69</f>
        <v>76.647532765712029</v>
      </c>
      <c r="G75" s="19" t="s">
        <v>12</v>
      </c>
      <c r="H75" s="97"/>
      <c r="I75" s="97"/>
    </row>
    <row r="76" spans="2:9" ht="30" x14ac:dyDescent="0.25">
      <c r="B76" s="18" t="s">
        <v>160</v>
      </c>
      <c r="C76" s="16" t="s">
        <v>161</v>
      </c>
      <c r="D76" s="15" t="s">
        <v>262</v>
      </c>
      <c r="E76" s="31" t="s">
        <v>144</v>
      </c>
      <c r="F76" s="20">
        <v>1.0960000000000001</v>
      </c>
      <c r="G76" s="19" t="s">
        <v>16</v>
      </c>
      <c r="H76" s="97"/>
      <c r="I76" s="97"/>
    </row>
    <row r="77" spans="2:9" ht="30" customHeight="1" x14ac:dyDescent="0.25">
      <c r="B77" s="18" t="s">
        <v>162</v>
      </c>
      <c r="C77" s="16" t="s">
        <v>18</v>
      </c>
      <c r="D77" s="15" t="s">
        <v>17</v>
      </c>
      <c r="E77" s="31" t="s">
        <v>19</v>
      </c>
      <c r="F77" s="103">
        <v>14036</v>
      </c>
      <c r="G77" s="111" t="s">
        <v>375</v>
      </c>
      <c r="H77" s="97"/>
      <c r="I77" s="97"/>
    </row>
    <row r="78" spans="2:9" ht="60" x14ac:dyDescent="0.25">
      <c r="B78" s="18" t="s">
        <v>163</v>
      </c>
      <c r="C78" s="16" t="s">
        <v>164</v>
      </c>
      <c r="D78" s="15" t="s">
        <v>165</v>
      </c>
      <c r="E78" s="31" t="s">
        <v>16</v>
      </c>
      <c r="F78" s="85">
        <v>0.91</v>
      </c>
      <c r="G78" s="111" t="s">
        <v>314</v>
      </c>
      <c r="H78" s="97"/>
      <c r="I78" s="97"/>
    </row>
    <row r="79" spans="2:9" ht="30" x14ac:dyDescent="0.25">
      <c r="B79" s="80" t="s">
        <v>166</v>
      </c>
      <c r="C79" s="16" t="s">
        <v>265</v>
      </c>
      <c r="D79" s="15" t="s">
        <v>266</v>
      </c>
      <c r="E79" s="31" t="s">
        <v>182</v>
      </c>
      <c r="F79" s="81">
        <v>1</v>
      </c>
      <c r="G79" s="19" t="s">
        <v>267</v>
      </c>
      <c r="H79" s="97"/>
      <c r="I79" s="97"/>
    </row>
    <row r="80" spans="2:9" ht="30" x14ac:dyDescent="0.25">
      <c r="B80" s="80" t="s">
        <v>167</v>
      </c>
      <c r="C80" s="16" t="s">
        <v>263</v>
      </c>
      <c r="D80" s="15" t="s">
        <v>168</v>
      </c>
      <c r="E80" s="31" t="s">
        <v>169</v>
      </c>
      <c r="F80" s="110">
        <v>1</v>
      </c>
      <c r="G80" s="85" t="s">
        <v>170</v>
      </c>
      <c r="H80" s="97"/>
      <c r="I80" s="97"/>
    </row>
    <row r="81" spans="2:9" ht="60" x14ac:dyDescent="0.25">
      <c r="B81" s="80" t="s">
        <v>171</v>
      </c>
      <c r="C81" s="16" t="s">
        <v>172</v>
      </c>
      <c r="D81" s="15" t="s">
        <v>173</v>
      </c>
      <c r="E81" s="31" t="s">
        <v>21</v>
      </c>
      <c r="F81" s="112">
        <v>0</v>
      </c>
      <c r="G81" s="85" t="s">
        <v>174</v>
      </c>
      <c r="H81" s="97"/>
      <c r="I81" s="97"/>
    </row>
    <row r="82" spans="2:9" ht="30" x14ac:dyDescent="0.25">
      <c r="B82" s="80" t="s">
        <v>175</v>
      </c>
      <c r="C82" s="16" t="s">
        <v>176</v>
      </c>
      <c r="D82" s="15" t="s">
        <v>177</v>
      </c>
      <c r="E82" s="31" t="s">
        <v>178</v>
      </c>
      <c r="F82" s="32">
        <v>5</v>
      </c>
      <c r="G82" s="19" t="s">
        <v>264</v>
      </c>
      <c r="H82" s="97"/>
      <c r="I82" s="97"/>
    </row>
    <row r="83" spans="2:9" ht="60" x14ac:dyDescent="0.25">
      <c r="B83" s="80" t="s">
        <v>179</v>
      </c>
      <c r="C83" s="16" t="s">
        <v>180</v>
      </c>
      <c r="D83" s="15" t="s">
        <v>181</v>
      </c>
      <c r="E83" s="31" t="s">
        <v>182</v>
      </c>
      <c r="F83" s="65">
        <v>1.046</v>
      </c>
      <c r="G83" s="19" t="s">
        <v>183</v>
      </c>
      <c r="H83" s="97"/>
      <c r="I83" s="97"/>
    </row>
    <row r="84" spans="2:9" ht="30" x14ac:dyDescent="0.25">
      <c r="B84" s="82" t="s">
        <v>268</v>
      </c>
      <c r="C84" s="16" t="s">
        <v>184</v>
      </c>
      <c r="D84" s="15" t="s">
        <v>185</v>
      </c>
      <c r="E84" s="31" t="s">
        <v>219</v>
      </c>
      <c r="F84" s="110">
        <v>7</v>
      </c>
      <c r="G84" s="111" t="s">
        <v>376</v>
      </c>
      <c r="H84" s="97"/>
      <c r="I84" s="97"/>
    </row>
    <row r="85" spans="2:9" ht="60" x14ac:dyDescent="0.25">
      <c r="B85" s="80" t="s">
        <v>298</v>
      </c>
      <c r="C85" s="16" t="s">
        <v>240</v>
      </c>
      <c r="D85" s="15" t="s">
        <v>239</v>
      </c>
      <c r="E85" s="31" t="s">
        <v>19</v>
      </c>
      <c r="F85" s="127">
        <f>2*30.3*242</f>
        <v>14665.2</v>
      </c>
      <c r="G85" s="85"/>
      <c r="H85" s="97"/>
      <c r="I85" s="97"/>
    </row>
    <row r="86" spans="2:9" ht="30" customHeight="1" x14ac:dyDescent="0.25">
      <c r="B86" s="82" t="s">
        <v>299</v>
      </c>
      <c r="C86" s="19" t="s">
        <v>269</v>
      </c>
      <c r="D86" s="15" t="s">
        <v>186</v>
      </c>
      <c r="E86" s="31" t="s">
        <v>187</v>
      </c>
      <c r="F86" s="114">
        <f>F77*19</f>
        <v>266684</v>
      </c>
      <c r="G86" s="85" t="s">
        <v>188</v>
      </c>
      <c r="H86" s="97"/>
      <c r="I86" s="97"/>
    </row>
    <row r="87" spans="2:9" ht="30" customHeight="1" x14ac:dyDescent="0.25">
      <c r="B87" s="80" t="s">
        <v>300</v>
      </c>
      <c r="C87" s="19" t="s">
        <v>270</v>
      </c>
      <c r="D87" s="15" t="s">
        <v>189</v>
      </c>
      <c r="E87" s="31" t="s">
        <v>187</v>
      </c>
      <c r="F87" s="114">
        <f>F86</f>
        <v>266684</v>
      </c>
      <c r="G87" s="85" t="s">
        <v>190</v>
      </c>
      <c r="H87" s="97"/>
      <c r="I87" s="97"/>
    </row>
    <row r="88" spans="2:9" ht="45.75" customHeight="1" x14ac:dyDescent="0.25">
      <c r="B88" s="82" t="s">
        <v>301</v>
      </c>
      <c r="C88" s="19" t="s">
        <v>295</v>
      </c>
      <c r="D88" s="15" t="s">
        <v>191</v>
      </c>
      <c r="E88" s="31" t="s">
        <v>21</v>
      </c>
      <c r="F88" s="141">
        <v>299162.62</v>
      </c>
      <c r="G88" s="85" t="s">
        <v>296</v>
      </c>
      <c r="H88" s="97"/>
      <c r="I88" s="97"/>
    </row>
    <row r="89" spans="2:9" ht="46.5" customHeight="1" x14ac:dyDescent="0.25">
      <c r="B89" s="80" t="s">
        <v>302</v>
      </c>
      <c r="C89" s="18" t="s">
        <v>192</v>
      </c>
      <c r="D89" s="15" t="s">
        <v>193</v>
      </c>
      <c r="E89" s="15" t="s">
        <v>182</v>
      </c>
      <c r="F89" s="113">
        <v>1.0409999999999999</v>
      </c>
      <c r="G89" s="84" t="s">
        <v>294</v>
      </c>
      <c r="H89" s="97"/>
      <c r="I89" s="97"/>
    </row>
    <row r="90" spans="2:9" ht="15.75" customHeight="1" x14ac:dyDescent="0.25">
      <c r="B90" s="82" t="s">
        <v>303</v>
      </c>
      <c r="C90" s="18"/>
      <c r="D90" s="15" t="s">
        <v>231</v>
      </c>
      <c r="E90" s="31" t="s">
        <v>21</v>
      </c>
      <c r="F90" s="83">
        <v>0</v>
      </c>
      <c r="G90" s="84" t="s">
        <v>233</v>
      </c>
      <c r="H90" s="97"/>
      <c r="I90" s="97"/>
    </row>
    <row r="91" spans="2:9" ht="16.5" customHeight="1" x14ac:dyDescent="0.25">
      <c r="B91" s="80" t="s">
        <v>304</v>
      </c>
      <c r="C91" s="18"/>
      <c r="D91" s="15" t="s">
        <v>232</v>
      </c>
      <c r="E91" s="31" t="s">
        <v>21</v>
      </c>
      <c r="F91" s="83">
        <v>0</v>
      </c>
      <c r="G91" s="84" t="s">
        <v>234</v>
      </c>
      <c r="H91" s="97"/>
      <c r="I91" s="97"/>
    </row>
    <row r="92" spans="2:9" ht="15" customHeight="1" x14ac:dyDescent="0.25">
      <c r="B92" s="82" t="s">
        <v>305</v>
      </c>
      <c r="C92" s="18"/>
      <c r="D92" s="15" t="s">
        <v>236</v>
      </c>
      <c r="E92" s="31" t="s">
        <v>182</v>
      </c>
      <c r="F92" s="83">
        <v>1</v>
      </c>
      <c r="G92" s="84" t="s">
        <v>237</v>
      </c>
      <c r="H92" s="97"/>
      <c r="I92" s="97"/>
    </row>
    <row r="93" spans="2:9" x14ac:dyDescent="0.25">
      <c r="B93" s="80" t="s">
        <v>306</v>
      </c>
      <c r="C93" s="18"/>
      <c r="D93" s="15" t="s">
        <v>194</v>
      </c>
      <c r="E93" s="15"/>
      <c r="F93" s="90">
        <f>F74-F88</f>
        <v>996556.00396691135</v>
      </c>
      <c r="G93" s="19" t="s">
        <v>235</v>
      </c>
      <c r="H93" s="97"/>
      <c r="I93" s="97"/>
    </row>
    <row r="94" spans="2:9" x14ac:dyDescent="0.25">
      <c r="B94" s="93"/>
      <c r="C94" s="93"/>
      <c r="D94" s="93"/>
      <c r="E94" s="93"/>
      <c r="F94" s="95"/>
      <c r="G94" s="96"/>
      <c r="H94" s="97"/>
      <c r="I94" s="97"/>
    </row>
    <row r="95" spans="2:9" x14ac:dyDescent="0.25">
      <c r="B95" s="93"/>
      <c r="C95" s="93"/>
      <c r="D95" s="98"/>
      <c r="E95" s="98"/>
      <c r="F95" s="96"/>
      <c r="G95" s="99"/>
      <c r="H95" s="97"/>
      <c r="I95" s="97"/>
    </row>
    <row r="96" spans="2:9" x14ac:dyDescent="0.25">
      <c r="B96" s="100"/>
      <c r="C96" s="100"/>
      <c r="D96" s="100"/>
      <c r="E96" s="100"/>
      <c r="F96" s="101"/>
      <c r="G96" s="102"/>
      <c r="H96" s="100"/>
      <c r="I96" s="100"/>
    </row>
  </sheetData>
  <mergeCells count="12">
    <mergeCell ref="B72:G72"/>
    <mergeCell ref="B1:G1"/>
    <mergeCell ref="C2:G2"/>
    <mergeCell ref="C5:G5"/>
    <mergeCell ref="C17:G17"/>
    <mergeCell ref="C20:G20"/>
    <mergeCell ref="C25:G25"/>
    <mergeCell ref="C34:G34"/>
    <mergeCell ref="C37:G37"/>
    <mergeCell ref="C41:G41"/>
    <mergeCell ref="C61:G61"/>
    <mergeCell ref="C68:G68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I95"/>
  <sheetViews>
    <sheetView view="pageBreakPreview" topLeftCell="A76" zoomScale="84" zoomScaleNormal="80" zoomScaleSheetLayoutView="84" workbookViewId="0">
      <selection activeCell="F92" sqref="F92"/>
    </sheetView>
  </sheetViews>
  <sheetFormatPr defaultRowHeight="15" x14ac:dyDescent="0.25"/>
  <cols>
    <col min="2" max="2" width="11.42578125" customWidth="1"/>
    <col min="3" max="3" width="69.5703125" customWidth="1"/>
    <col min="4" max="4" width="17.140625" customWidth="1"/>
    <col min="5" max="5" width="11.28515625" customWidth="1"/>
    <col min="6" max="6" width="26.28515625" customWidth="1"/>
    <col min="7" max="7" width="65" customWidth="1"/>
    <col min="8" max="8" width="40.5703125" customWidth="1"/>
  </cols>
  <sheetData>
    <row r="1" spans="2:9" ht="19.5" x14ac:dyDescent="0.3">
      <c r="B1" s="158" t="s">
        <v>0</v>
      </c>
      <c r="C1" s="158"/>
      <c r="D1" s="158"/>
      <c r="E1" s="158"/>
      <c r="F1" s="158"/>
      <c r="G1" s="158"/>
      <c r="H1" s="1"/>
      <c r="I1" s="1"/>
    </row>
    <row r="2" spans="2:9" ht="19.5" x14ac:dyDescent="0.3">
      <c r="B2" s="118"/>
      <c r="C2" s="158" t="s">
        <v>327</v>
      </c>
      <c r="D2" s="158"/>
      <c r="E2" s="158"/>
      <c r="F2" s="158"/>
      <c r="G2" s="158"/>
      <c r="H2" s="1"/>
      <c r="I2" s="1"/>
    </row>
    <row r="3" spans="2:9" ht="15.75" thickBot="1" x14ac:dyDescent="0.3">
      <c r="B3" s="1"/>
      <c r="C3" s="1"/>
      <c r="D3" s="1"/>
      <c r="E3" s="1"/>
      <c r="F3" s="1"/>
      <c r="G3" s="1"/>
      <c r="H3" s="1"/>
      <c r="I3" s="1"/>
    </row>
    <row r="4" spans="2:9" ht="30.75" thickBot="1" x14ac:dyDescent="0.3">
      <c r="B4" s="13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7" t="s">
        <v>6</v>
      </c>
      <c r="H4" s="94"/>
      <c r="I4" s="94"/>
    </row>
    <row r="5" spans="2:9" ht="17.25" thickBot="1" x14ac:dyDescent="0.3">
      <c r="B5" s="24" t="s">
        <v>7</v>
      </c>
      <c r="C5" s="159" t="s">
        <v>275</v>
      </c>
      <c r="D5" s="159"/>
      <c r="E5" s="159"/>
      <c r="F5" s="159"/>
      <c r="G5" s="160"/>
      <c r="H5" s="94"/>
      <c r="I5" s="94"/>
    </row>
    <row r="6" spans="2:9" ht="30" x14ac:dyDescent="0.25">
      <c r="B6" s="25">
        <v>1</v>
      </c>
      <c r="C6" s="26" t="s">
        <v>9</v>
      </c>
      <c r="D6" s="27" t="s">
        <v>10</v>
      </c>
      <c r="E6" s="28" t="s">
        <v>11</v>
      </c>
      <c r="F6" s="92">
        <f>((F7*F8)/F16)*F12*F13*(F14/F15)</f>
        <v>8.3677233460770637</v>
      </c>
      <c r="G6" s="29" t="s">
        <v>238</v>
      </c>
      <c r="H6" s="94"/>
      <c r="I6" s="94"/>
    </row>
    <row r="7" spans="2:9" x14ac:dyDescent="0.25">
      <c r="B7" s="30" t="s">
        <v>13</v>
      </c>
      <c r="C7" s="16" t="s">
        <v>14</v>
      </c>
      <c r="D7" s="15">
        <v>12</v>
      </c>
      <c r="E7" s="31" t="s">
        <v>15</v>
      </c>
      <c r="F7" s="32">
        <v>7</v>
      </c>
      <c r="G7" s="33"/>
      <c r="H7" s="94"/>
      <c r="I7" s="94"/>
    </row>
    <row r="8" spans="2:9" x14ac:dyDescent="0.25">
      <c r="B8" s="34" t="s">
        <v>20</v>
      </c>
      <c r="C8" s="16" t="s">
        <v>274</v>
      </c>
      <c r="D8" s="15" t="s">
        <v>206</v>
      </c>
      <c r="E8" s="31" t="s">
        <v>21</v>
      </c>
      <c r="F8" s="17">
        <f>F9*F10*F11</f>
        <v>88051.199999999997</v>
      </c>
      <c r="G8" s="33" t="s">
        <v>286</v>
      </c>
      <c r="H8" s="94"/>
      <c r="I8" s="94"/>
    </row>
    <row r="9" spans="2:9" ht="30" x14ac:dyDescent="0.25">
      <c r="B9" s="35" t="s">
        <v>22</v>
      </c>
      <c r="C9" s="16" t="s">
        <v>23</v>
      </c>
      <c r="D9" s="15" t="s">
        <v>24</v>
      </c>
      <c r="E9" s="31" t="s">
        <v>21</v>
      </c>
      <c r="F9" s="87">
        <v>68790</v>
      </c>
      <c r="G9" s="88" t="str">
        <f>'502'!G9</f>
        <v xml:space="preserve">согласно фактическим данным предриятий за 2024г. </v>
      </c>
      <c r="H9" s="94"/>
      <c r="I9" s="94"/>
    </row>
    <row r="10" spans="2:9" ht="45" x14ac:dyDescent="0.25">
      <c r="B10" s="30" t="s">
        <v>25</v>
      </c>
      <c r="C10" s="37" t="s">
        <v>26</v>
      </c>
      <c r="D10" s="38" t="s">
        <v>27</v>
      </c>
      <c r="E10" s="31" t="s">
        <v>12</v>
      </c>
      <c r="F10" s="39">
        <v>1.28</v>
      </c>
      <c r="G10" s="33" t="s">
        <v>271</v>
      </c>
      <c r="H10" s="94"/>
      <c r="I10" s="94"/>
    </row>
    <row r="11" spans="2:9" ht="30" x14ac:dyDescent="0.25">
      <c r="B11" s="30" t="s">
        <v>28</v>
      </c>
      <c r="C11" s="37" t="s">
        <v>29</v>
      </c>
      <c r="D11" s="38" t="s">
        <v>30</v>
      </c>
      <c r="E11" s="31" t="s">
        <v>12</v>
      </c>
      <c r="F11" s="39">
        <v>1</v>
      </c>
      <c r="G11" s="33" t="s">
        <v>31</v>
      </c>
      <c r="H11" s="94"/>
      <c r="I11" s="94"/>
    </row>
    <row r="12" spans="2:9" x14ac:dyDescent="0.25">
      <c r="B12" s="30" t="s">
        <v>32</v>
      </c>
      <c r="C12" s="16" t="s">
        <v>33</v>
      </c>
      <c r="D12" s="15" t="s">
        <v>34</v>
      </c>
      <c r="E12" s="31" t="s">
        <v>8</v>
      </c>
      <c r="F12" s="103">
        <v>546</v>
      </c>
      <c r="G12" s="88" t="s">
        <v>388</v>
      </c>
      <c r="H12" s="94"/>
      <c r="I12" s="94"/>
    </row>
    <row r="13" spans="2:9" ht="45" x14ac:dyDescent="0.25">
      <c r="B13" s="30" t="s">
        <v>35</v>
      </c>
      <c r="C13" s="40" t="s">
        <v>272</v>
      </c>
      <c r="D13" s="15" t="s">
        <v>36</v>
      </c>
      <c r="E13" s="31" t="s">
        <v>182</v>
      </c>
      <c r="F13" s="39">
        <v>1.06</v>
      </c>
      <c r="G13" s="33"/>
      <c r="H13" s="94"/>
      <c r="I13" s="94"/>
    </row>
    <row r="14" spans="2:9" ht="17.25" x14ac:dyDescent="0.25">
      <c r="B14" s="30" t="s">
        <v>37</v>
      </c>
      <c r="C14" s="16" t="s">
        <v>38</v>
      </c>
      <c r="D14" s="15" t="s">
        <v>39</v>
      </c>
      <c r="E14" s="15" t="s">
        <v>182</v>
      </c>
      <c r="F14" s="104">
        <v>1.0469999999999999</v>
      </c>
      <c r="G14" s="33" t="str">
        <f>'502'!G14</f>
        <v>Индекс потребительский цен из прогноза Минэкономразвития РФ</v>
      </c>
      <c r="H14" s="94"/>
      <c r="I14" s="94"/>
    </row>
    <row r="15" spans="2:9" x14ac:dyDescent="0.25">
      <c r="B15" s="34" t="s">
        <v>41</v>
      </c>
      <c r="C15" s="16" t="s">
        <v>18</v>
      </c>
      <c r="D15" s="15" t="s">
        <v>17</v>
      </c>
      <c r="E15" s="31" t="s">
        <v>19</v>
      </c>
      <c r="F15" s="122">
        <v>25188.799999999999</v>
      </c>
      <c r="G15" s="88" t="s">
        <v>388</v>
      </c>
      <c r="H15" s="94"/>
      <c r="I15" s="94"/>
    </row>
    <row r="16" spans="2:9" ht="15.75" thickBot="1" x14ac:dyDescent="0.3">
      <c r="B16" s="41" t="s">
        <v>42</v>
      </c>
      <c r="C16" s="42" t="s">
        <v>241</v>
      </c>
      <c r="D16" s="43" t="s">
        <v>207</v>
      </c>
      <c r="E16" s="52" t="s">
        <v>8</v>
      </c>
      <c r="F16" s="44">
        <v>1772</v>
      </c>
      <c r="G16" s="45"/>
      <c r="H16" s="94"/>
      <c r="I16" s="94"/>
    </row>
    <row r="17" spans="2:9" ht="17.25" thickBot="1" x14ac:dyDescent="0.3">
      <c r="B17" s="46" t="s">
        <v>45</v>
      </c>
      <c r="C17" s="161" t="s">
        <v>276</v>
      </c>
      <c r="D17" s="162"/>
      <c r="E17" s="162"/>
      <c r="F17" s="162"/>
      <c r="G17" s="163"/>
      <c r="H17" s="94"/>
      <c r="I17" s="94"/>
    </row>
    <row r="18" spans="2:9" ht="86.1" customHeight="1" x14ac:dyDescent="0.25">
      <c r="B18" s="25">
        <v>2</v>
      </c>
      <c r="C18" s="47" t="s">
        <v>46</v>
      </c>
      <c r="D18" s="27" t="s">
        <v>208</v>
      </c>
      <c r="E18" s="28" t="s">
        <v>11</v>
      </c>
      <c r="F18" s="115">
        <f>F6*F19</f>
        <v>0</v>
      </c>
      <c r="G18" s="116" t="s">
        <v>307</v>
      </c>
      <c r="H18" s="117" t="s">
        <v>309</v>
      </c>
      <c r="I18" s="94"/>
    </row>
    <row r="19" spans="2:9" ht="105.75" thickBot="1" x14ac:dyDescent="0.3">
      <c r="B19" s="48" t="s">
        <v>308</v>
      </c>
      <c r="C19" s="16" t="s">
        <v>273</v>
      </c>
      <c r="D19" s="15" t="s">
        <v>243</v>
      </c>
      <c r="E19" s="31" t="s">
        <v>182</v>
      </c>
      <c r="F19" s="83">
        <v>0</v>
      </c>
      <c r="G19" s="88" t="s">
        <v>242</v>
      </c>
      <c r="H19" s="94"/>
      <c r="I19" s="94"/>
    </row>
    <row r="20" spans="2:9" ht="16.5" x14ac:dyDescent="0.25">
      <c r="B20" s="49" t="s">
        <v>48</v>
      </c>
      <c r="C20" s="155" t="s">
        <v>277</v>
      </c>
      <c r="D20" s="156"/>
      <c r="E20" s="156"/>
      <c r="F20" s="156"/>
      <c r="G20" s="157"/>
      <c r="H20" s="94"/>
      <c r="I20" s="94"/>
    </row>
    <row r="21" spans="2:9" x14ac:dyDescent="0.25">
      <c r="B21" s="18">
        <v>3</v>
      </c>
      <c r="C21" s="16" t="s">
        <v>49</v>
      </c>
      <c r="D21" s="15" t="s">
        <v>50</v>
      </c>
      <c r="E21" s="31" t="s">
        <v>11</v>
      </c>
      <c r="F21" s="50">
        <f>SUM(F22+F23)*(F24/100)</f>
        <v>2.5270524505152729</v>
      </c>
      <c r="G21" s="19" t="s">
        <v>244</v>
      </c>
      <c r="H21" s="94"/>
      <c r="I21" s="94"/>
    </row>
    <row r="22" spans="2:9" ht="17.25" x14ac:dyDescent="0.25">
      <c r="B22" s="18" t="s">
        <v>51</v>
      </c>
      <c r="C22" s="16" t="s">
        <v>52</v>
      </c>
      <c r="D22" s="15" t="s">
        <v>10</v>
      </c>
      <c r="E22" s="31" t="s">
        <v>11</v>
      </c>
      <c r="F22" s="109">
        <f>SUM(F6)</f>
        <v>8.3677233460770637</v>
      </c>
      <c r="G22" s="51"/>
      <c r="H22" s="94"/>
      <c r="I22" s="94"/>
    </row>
    <row r="23" spans="2:9" ht="17.25" x14ac:dyDescent="0.25">
      <c r="B23" s="18" t="s">
        <v>53</v>
      </c>
      <c r="C23" s="16" t="s">
        <v>46</v>
      </c>
      <c r="D23" s="15" t="s">
        <v>47</v>
      </c>
      <c r="E23" s="31" t="s">
        <v>11</v>
      </c>
      <c r="F23" s="39">
        <f>SUM(F18)</f>
        <v>0</v>
      </c>
      <c r="G23" s="51"/>
      <c r="H23" s="94"/>
      <c r="I23" s="94"/>
    </row>
    <row r="24" spans="2:9" ht="15.75" thickBot="1" x14ac:dyDescent="0.3">
      <c r="B24" s="41" t="s">
        <v>54</v>
      </c>
      <c r="C24" s="42" t="s">
        <v>280</v>
      </c>
      <c r="D24" s="43" t="s">
        <v>56</v>
      </c>
      <c r="E24" s="52" t="s">
        <v>57</v>
      </c>
      <c r="F24" s="53">
        <v>30.2</v>
      </c>
      <c r="G24" s="54" t="s">
        <v>58</v>
      </c>
      <c r="H24" s="94"/>
      <c r="I24" s="94"/>
    </row>
    <row r="25" spans="2:9" ht="16.5" x14ac:dyDescent="0.25">
      <c r="B25" s="55" t="s">
        <v>59</v>
      </c>
      <c r="C25" s="164" t="s">
        <v>278</v>
      </c>
      <c r="D25" s="165"/>
      <c r="E25" s="165"/>
      <c r="F25" s="165"/>
      <c r="G25" s="166"/>
      <c r="H25" s="94"/>
      <c r="I25" s="94"/>
    </row>
    <row r="26" spans="2:9" ht="17.25" x14ac:dyDescent="0.25">
      <c r="B26" s="18">
        <v>4</v>
      </c>
      <c r="C26" s="56" t="s">
        <v>60</v>
      </c>
      <c r="D26" s="57" t="s">
        <v>61</v>
      </c>
      <c r="E26" s="58" t="s">
        <v>11</v>
      </c>
      <c r="F26" s="59">
        <f>F27*((F28/100)*(1+0.01*F29)+((F30/F31)*(F32/12)))*F33</f>
        <v>22.363806857142858</v>
      </c>
      <c r="G26" s="60" t="s">
        <v>245</v>
      </c>
      <c r="H26" s="94"/>
      <c r="I26" s="94"/>
    </row>
    <row r="27" spans="2:9" x14ac:dyDescent="0.25">
      <c r="B27" s="61" t="s">
        <v>62</v>
      </c>
      <c r="C27" s="16" t="s">
        <v>63</v>
      </c>
      <c r="D27" s="15" t="s">
        <v>64</v>
      </c>
      <c r="E27" s="31" t="s">
        <v>21</v>
      </c>
      <c r="F27" s="87">
        <v>72</v>
      </c>
      <c r="G27" s="85" t="s">
        <v>367</v>
      </c>
      <c r="H27" s="94"/>
      <c r="I27" s="94"/>
    </row>
    <row r="28" spans="2:9" ht="90" x14ac:dyDescent="0.25">
      <c r="B28" s="61" t="s">
        <v>65</v>
      </c>
      <c r="C28" s="16" t="s">
        <v>279</v>
      </c>
      <c r="D28" s="15" t="s">
        <v>246</v>
      </c>
      <c r="E28" s="31" t="s">
        <v>66</v>
      </c>
      <c r="F28" s="91">
        <v>26.2</v>
      </c>
      <c r="G28" s="85" t="s">
        <v>319</v>
      </c>
      <c r="H28" s="94"/>
      <c r="I28" s="94"/>
    </row>
    <row r="29" spans="2:9" ht="105" x14ac:dyDescent="0.25">
      <c r="B29" s="61" t="s">
        <v>67</v>
      </c>
      <c r="C29" s="16" t="s">
        <v>68</v>
      </c>
      <c r="D29" s="15" t="s">
        <v>69</v>
      </c>
      <c r="E29" s="31" t="s">
        <v>57</v>
      </c>
      <c r="F29" s="36">
        <v>10</v>
      </c>
      <c r="G29" s="19" t="s">
        <v>70</v>
      </c>
      <c r="H29" s="94"/>
      <c r="I29" s="94"/>
    </row>
    <row r="30" spans="2:9" ht="45" x14ac:dyDescent="0.25">
      <c r="B30" s="61" t="s">
        <v>71</v>
      </c>
      <c r="C30" s="16" t="s">
        <v>72</v>
      </c>
      <c r="D30" s="62" t="s">
        <v>247</v>
      </c>
      <c r="E30" s="31" t="s">
        <v>73</v>
      </c>
      <c r="F30" s="105">
        <v>2.5</v>
      </c>
      <c r="G30" s="19" t="s">
        <v>324</v>
      </c>
      <c r="H30" s="94"/>
      <c r="I30" s="94"/>
    </row>
    <row r="31" spans="2:9" x14ac:dyDescent="0.25">
      <c r="B31" s="61" t="s">
        <v>74</v>
      </c>
      <c r="C31" s="16" t="s">
        <v>75</v>
      </c>
      <c r="D31" s="62" t="s">
        <v>76</v>
      </c>
      <c r="E31" s="31" t="s">
        <v>77</v>
      </c>
      <c r="F31" s="106">
        <v>70</v>
      </c>
      <c r="G31" s="88"/>
      <c r="H31" s="94"/>
      <c r="I31" s="94"/>
    </row>
    <row r="32" spans="2:9" ht="30" x14ac:dyDescent="0.25">
      <c r="B32" s="61" t="s">
        <v>78</v>
      </c>
      <c r="C32" s="16" t="s">
        <v>79</v>
      </c>
      <c r="D32" s="62" t="s">
        <v>80</v>
      </c>
      <c r="E32" s="31" t="s">
        <v>220</v>
      </c>
      <c r="F32" s="107">
        <v>4</v>
      </c>
      <c r="G32" s="88" t="s">
        <v>389</v>
      </c>
      <c r="H32" s="94"/>
      <c r="I32" s="94"/>
    </row>
    <row r="33" spans="2:9" ht="30" x14ac:dyDescent="0.25">
      <c r="B33" s="61" t="s">
        <v>81</v>
      </c>
      <c r="C33" s="16" t="s">
        <v>82</v>
      </c>
      <c r="D33" s="15" t="s">
        <v>83</v>
      </c>
      <c r="E33" s="15" t="s">
        <v>182</v>
      </c>
      <c r="F33" s="104">
        <v>1.0349999999999999</v>
      </c>
      <c r="G33" s="63" t="s">
        <v>218</v>
      </c>
      <c r="H33" s="94"/>
      <c r="I33" s="94"/>
    </row>
    <row r="34" spans="2:9" ht="16.5" x14ac:dyDescent="0.25">
      <c r="B34" s="18" t="s">
        <v>84</v>
      </c>
      <c r="C34" s="167" t="s">
        <v>281</v>
      </c>
      <c r="D34" s="168"/>
      <c r="E34" s="168"/>
      <c r="F34" s="168"/>
      <c r="G34" s="169"/>
      <c r="H34" s="94"/>
      <c r="I34" s="94"/>
    </row>
    <row r="35" spans="2:9" ht="17.25" x14ac:dyDescent="0.25">
      <c r="B35" s="18">
        <v>5</v>
      </c>
      <c r="C35" s="16" t="s">
        <v>85</v>
      </c>
      <c r="D35" s="15" t="s">
        <v>86</v>
      </c>
      <c r="E35" s="58" t="s">
        <v>11</v>
      </c>
      <c r="F35" s="64">
        <f>0.075*F36</f>
        <v>1.6772855142857144</v>
      </c>
      <c r="G35" s="19" t="s">
        <v>248</v>
      </c>
      <c r="H35" s="94"/>
      <c r="I35" s="94"/>
    </row>
    <row r="36" spans="2:9" ht="17.25" x14ac:dyDescent="0.25">
      <c r="B36" s="18" t="s">
        <v>87</v>
      </c>
      <c r="C36" s="56" t="s">
        <v>60</v>
      </c>
      <c r="D36" s="57" t="s">
        <v>61</v>
      </c>
      <c r="E36" s="58" t="s">
        <v>11</v>
      </c>
      <c r="F36" s="65">
        <f>SUM(F26)</f>
        <v>22.363806857142858</v>
      </c>
      <c r="G36" s="51" t="s">
        <v>88</v>
      </c>
      <c r="H36" s="94"/>
      <c r="I36" s="94"/>
    </row>
    <row r="37" spans="2:9" ht="16.5" x14ac:dyDescent="0.25">
      <c r="B37" s="18" t="s">
        <v>89</v>
      </c>
      <c r="C37" s="167" t="s">
        <v>282</v>
      </c>
      <c r="D37" s="168"/>
      <c r="E37" s="168"/>
      <c r="F37" s="168"/>
      <c r="G37" s="169"/>
      <c r="H37" s="94"/>
      <c r="I37" s="94"/>
    </row>
    <row r="38" spans="2:9" ht="17.25" x14ac:dyDescent="0.25">
      <c r="B38" s="18">
        <v>6</v>
      </c>
      <c r="C38" s="16" t="s">
        <v>90</v>
      </c>
      <c r="D38" s="15" t="s">
        <v>91</v>
      </c>
      <c r="E38" s="31" t="s">
        <v>11</v>
      </c>
      <c r="F38" s="64">
        <f>F39*F40</f>
        <v>0.69036000000000008</v>
      </c>
      <c r="G38" s="19" t="s">
        <v>249</v>
      </c>
      <c r="H38" s="94"/>
      <c r="I38" s="94"/>
    </row>
    <row r="39" spans="2:9" ht="75" x14ac:dyDescent="0.25">
      <c r="B39" s="18" t="s">
        <v>92</v>
      </c>
      <c r="C39" s="16" t="s">
        <v>93</v>
      </c>
      <c r="D39" s="15" t="s">
        <v>94</v>
      </c>
      <c r="E39" s="31" t="s">
        <v>16</v>
      </c>
      <c r="F39" s="39">
        <v>0.66</v>
      </c>
      <c r="G39" s="19" t="s">
        <v>320</v>
      </c>
      <c r="H39" s="94"/>
      <c r="I39" s="94"/>
    </row>
    <row r="40" spans="2:9" ht="45" x14ac:dyDescent="0.25">
      <c r="B40" s="18" t="s">
        <v>95</v>
      </c>
      <c r="C40" s="16" t="s">
        <v>96</v>
      </c>
      <c r="D40" s="15" t="s">
        <v>97</v>
      </c>
      <c r="E40" s="15" t="s">
        <v>16</v>
      </c>
      <c r="F40" s="104">
        <v>1.046</v>
      </c>
      <c r="G40" s="19" t="s">
        <v>98</v>
      </c>
      <c r="H40" s="94"/>
      <c r="I40" s="94"/>
    </row>
    <row r="41" spans="2:9" ht="16.5" x14ac:dyDescent="0.25">
      <c r="B41" s="18" t="s">
        <v>99</v>
      </c>
      <c r="C41" s="151" t="s">
        <v>283</v>
      </c>
      <c r="D41" s="152"/>
      <c r="E41" s="152"/>
      <c r="F41" s="152"/>
      <c r="G41" s="153"/>
      <c r="H41" s="94"/>
      <c r="I41" s="94"/>
    </row>
    <row r="42" spans="2:9" ht="17.25" x14ac:dyDescent="0.25">
      <c r="B42" s="18" t="s">
        <v>100</v>
      </c>
      <c r="C42" s="16" t="s">
        <v>101</v>
      </c>
      <c r="D42" s="15" t="s">
        <v>102</v>
      </c>
      <c r="E42" s="31" t="s">
        <v>11</v>
      </c>
      <c r="F42" s="64">
        <f>F43+F57</f>
        <v>11.841147002745696</v>
      </c>
      <c r="G42" s="19" t="s">
        <v>250</v>
      </c>
      <c r="H42" s="94"/>
      <c r="I42" s="94"/>
    </row>
    <row r="43" spans="2:9" ht="30" x14ac:dyDescent="0.25">
      <c r="B43" s="18" t="s">
        <v>103</v>
      </c>
      <c r="C43" s="16" t="s">
        <v>104</v>
      </c>
      <c r="D43" s="15" t="s">
        <v>105</v>
      </c>
      <c r="E43" s="31" t="s">
        <v>11</v>
      </c>
      <c r="F43" s="39">
        <f>(F45*(F48/F55))*F47*((F52/F46)+(F53*F54))*F44*(1+(F56/100))</f>
        <v>7.1341470027456966</v>
      </c>
      <c r="G43" s="19" t="s">
        <v>251</v>
      </c>
      <c r="H43" s="94"/>
      <c r="I43" s="94"/>
    </row>
    <row r="44" spans="2:9" ht="30" x14ac:dyDescent="0.25">
      <c r="B44" s="18" t="s">
        <v>106</v>
      </c>
      <c r="C44" s="66" t="s">
        <v>107</v>
      </c>
      <c r="D44" s="18">
        <v>1E-3</v>
      </c>
      <c r="E44" s="18" t="s">
        <v>16</v>
      </c>
      <c r="F44" s="18">
        <v>1E-3</v>
      </c>
      <c r="G44" s="67"/>
      <c r="H44" s="94"/>
      <c r="I44" s="94"/>
    </row>
    <row r="45" spans="2:9" x14ac:dyDescent="0.25">
      <c r="B45" s="18" t="s">
        <v>108</v>
      </c>
      <c r="C45" s="16" t="s">
        <v>14</v>
      </c>
      <c r="D45" s="15">
        <v>12</v>
      </c>
      <c r="E45" s="31" t="s">
        <v>15</v>
      </c>
      <c r="F45" s="32">
        <v>7</v>
      </c>
      <c r="G45" s="67" t="s">
        <v>375</v>
      </c>
      <c r="H45" s="94"/>
      <c r="I45" s="94"/>
    </row>
    <row r="46" spans="2:9" ht="45" x14ac:dyDescent="0.25">
      <c r="B46" s="18" t="s">
        <v>109</v>
      </c>
      <c r="C46" s="16" t="s">
        <v>253</v>
      </c>
      <c r="D46" s="15" t="s">
        <v>252</v>
      </c>
      <c r="E46" s="31" t="s">
        <v>182</v>
      </c>
      <c r="F46" s="39">
        <v>0.9</v>
      </c>
      <c r="G46" s="108" t="s">
        <v>254</v>
      </c>
      <c r="H46" s="94"/>
      <c r="I46" s="94"/>
    </row>
    <row r="47" spans="2:9" ht="49.5" customHeight="1" x14ac:dyDescent="0.25">
      <c r="B47" s="30" t="s">
        <v>110</v>
      </c>
      <c r="C47" s="16" t="s">
        <v>38</v>
      </c>
      <c r="D47" s="15" t="s">
        <v>39</v>
      </c>
      <c r="E47" s="15" t="s">
        <v>182</v>
      </c>
      <c r="F47" s="104">
        <v>1.0469999999999999</v>
      </c>
      <c r="G47" s="33" t="str">
        <f>'502'!G14</f>
        <v>Индекс потребительский цен из прогноза Минэкономразвития РФ</v>
      </c>
      <c r="H47" s="94"/>
      <c r="I47" s="94"/>
    </row>
    <row r="48" spans="2:9" ht="16.5" x14ac:dyDescent="0.25">
      <c r="B48" s="19" t="s">
        <v>111</v>
      </c>
      <c r="C48" s="66" t="s">
        <v>257</v>
      </c>
      <c r="D48" s="15" t="s">
        <v>112</v>
      </c>
      <c r="E48" s="31" t="s">
        <v>21</v>
      </c>
      <c r="F48" s="17">
        <f>F49*F50*F51</f>
        <v>68790</v>
      </c>
      <c r="G48" s="19" t="s">
        <v>113</v>
      </c>
      <c r="H48" s="94"/>
      <c r="I48" s="94"/>
    </row>
    <row r="49" spans="2:9" ht="45" x14ac:dyDescent="0.25">
      <c r="B49" s="18" t="s">
        <v>114</v>
      </c>
      <c r="C49" s="16" t="s">
        <v>115</v>
      </c>
      <c r="D49" s="15" t="s">
        <v>24</v>
      </c>
      <c r="E49" s="31" t="s">
        <v>21</v>
      </c>
      <c r="F49" s="36">
        <f>F9</f>
        <v>68790</v>
      </c>
      <c r="G49" s="88" t="str">
        <f>'502'!G49</f>
        <v xml:space="preserve">согласно фактическим данным предриятий за 2024г. </v>
      </c>
      <c r="H49" s="94"/>
      <c r="I49" s="94"/>
    </row>
    <row r="50" spans="2:9" ht="30" x14ac:dyDescent="0.25">
      <c r="B50" s="18" t="s">
        <v>116</v>
      </c>
      <c r="C50" s="66" t="s">
        <v>328</v>
      </c>
      <c r="D50" s="15" t="s">
        <v>217</v>
      </c>
      <c r="E50" s="15" t="s">
        <v>182</v>
      </c>
      <c r="F50" s="39">
        <v>1</v>
      </c>
      <c r="G50" s="19"/>
      <c r="H50" s="94"/>
      <c r="I50" s="94"/>
    </row>
    <row r="51" spans="2:9" ht="30" x14ac:dyDescent="0.25">
      <c r="B51" s="18" t="s">
        <v>117</v>
      </c>
      <c r="C51" s="68" t="s">
        <v>29</v>
      </c>
      <c r="D51" s="38" t="s">
        <v>30</v>
      </c>
      <c r="E51" s="31" t="s">
        <v>12</v>
      </c>
      <c r="F51" s="39">
        <v>1</v>
      </c>
      <c r="G51" s="33" t="s">
        <v>31</v>
      </c>
      <c r="H51" s="94"/>
      <c r="I51" s="94"/>
    </row>
    <row r="52" spans="2:9" ht="75" x14ac:dyDescent="0.25">
      <c r="B52" s="18" t="s">
        <v>118</v>
      </c>
      <c r="C52" s="16" t="s">
        <v>119</v>
      </c>
      <c r="D52" s="15" t="s">
        <v>120</v>
      </c>
      <c r="E52" s="15" t="s">
        <v>16</v>
      </c>
      <c r="F52" s="39">
        <v>9.3000000000000007</v>
      </c>
      <c r="G52" s="19" t="s">
        <v>321</v>
      </c>
      <c r="H52" s="94"/>
      <c r="I52" s="94"/>
    </row>
    <row r="53" spans="2:9" ht="75" x14ac:dyDescent="0.25">
      <c r="B53" s="18" t="s">
        <v>122</v>
      </c>
      <c r="C53" s="16" t="s">
        <v>123</v>
      </c>
      <c r="D53" s="15" t="s">
        <v>124</v>
      </c>
      <c r="E53" s="15" t="s">
        <v>16</v>
      </c>
      <c r="F53" s="18">
        <v>7.8</v>
      </c>
      <c r="G53" s="19" t="s">
        <v>322</v>
      </c>
      <c r="H53" s="94"/>
      <c r="I53" s="94"/>
    </row>
    <row r="54" spans="2:9" ht="30" x14ac:dyDescent="0.25">
      <c r="B54" s="18" t="s">
        <v>125</v>
      </c>
      <c r="C54" s="16" t="s">
        <v>256</v>
      </c>
      <c r="D54" s="20" t="s">
        <v>255</v>
      </c>
      <c r="E54" s="15" t="s">
        <v>16</v>
      </c>
      <c r="F54" s="39">
        <f>SUM('КЗп, КЗ, КЗЧ'!C4)</f>
        <v>1.2</v>
      </c>
      <c r="G54" s="19" t="s">
        <v>254</v>
      </c>
      <c r="H54" s="94"/>
      <c r="I54" s="94"/>
    </row>
    <row r="55" spans="2:9" x14ac:dyDescent="0.25">
      <c r="B55" s="18" t="s">
        <v>126</v>
      </c>
      <c r="C55" s="16" t="s">
        <v>43</v>
      </c>
      <c r="D55" s="15" t="s">
        <v>44</v>
      </c>
      <c r="E55" s="15" t="s">
        <v>8</v>
      </c>
      <c r="F55" s="12">
        <v>1812</v>
      </c>
      <c r="G55" s="19"/>
      <c r="H55" s="94"/>
      <c r="I55" s="94"/>
    </row>
    <row r="56" spans="2:9" x14ac:dyDescent="0.25">
      <c r="B56" s="18" t="s">
        <v>127</v>
      </c>
      <c r="C56" s="16" t="s">
        <v>55</v>
      </c>
      <c r="D56" s="15" t="s">
        <v>56</v>
      </c>
      <c r="E56" s="31" t="s">
        <v>57</v>
      </c>
      <c r="F56" s="69">
        <v>30.2</v>
      </c>
      <c r="G56" s="19" t="s">
        <v>58</v>
      </c>
      <c r="H56" s="94"/>
      <c r="I56" s="94"/>
    </row>
    <row r="57" spans="2:9" ht="30" x14ac:dyDescent="0.25">
      <c r="B57" s="18" t="s">
        <v>128</v>
      </c>
      <c r="C57" s="16" t="s">
        <v>129</v>
      </c>
      <c r="D57" s="15" t="s">
        <v>130</v>
      </c>
      <c r="E57" s="31" t="s">
        <v>11</v>
      </c>
      <c r="F57" s="39">
        <f>F58*F59*F60</f>
        <v>4.7069999999999999</v>
      </c>
      <c r="G57" s="19" t="s">
        <v>259</v>
      </c>
      <c r="H57" s="94"/>
      <c r="I57" s="94"/>
    </row>
    <row r="58" spans="2:9" ht="75" x14ac:dyDescent="0.25">
      <c r="B58" s="18" t="s">
        <v>131</v>
      </c>
      <c r="C58" s="16" t="s">
        <v>132</v>
      </c>
      <c r="D58" s="15" t="s">
        <v>133</v>
      </c>
      <c r="E58" s="15" t="s">
        <v>182</v>
      </c>
      <c r="F58" s="39">
        <v>3.6</v>
      </c>
      <c r="G58" s="19" t="s">
        <v>323</v>
      </c>
      <c r="H58" s="94"/>
      <c r="I58" s="94"/>
    </row>
    <row r="59" spans="2:9" ht="30" x14ac:dyDescent="0.25">
      <c r="B59" s="18" t="s">
        <v>134</v>
      </c>
      <c r="C59" s="16" t="s">
        <v>258</v>
      </c>
      <c r="D59" s="15" t="s">
        <v>135</v>
      </c>
      <c r="E59" s="15" t="s">
        <v>182</v>
      </c>
      <c r="F59" s="39">
        <f>SUM('КЗп, КЗ, КЗЧ'!D4)</f>
        <v>1.25</v>
      </c>
      <c r="G59" s="19" t="s">
        <v>145</v>
      </c>
      <c r="H59" s="94"/>
      <c r="I59" s="94"/>
    </row>
    <row r="60" spans="2:9" ht="45" x14ac:dyDescent="0.25">
      <c r="B60" s="18" t="s">
        <v>134</v>
      </c>
      <c r="C60" s="16" t="s">
        <v>96</v>
      </c>
      <c r="D60" s="15" t="s">
        <v>97</v>
      </c>
      <c r="E60" s="15" t="s">
        <v>16</v>
      </c>
      <c r="F60" s="89">
        <v>1.046</v>
      </c>
      <c r="G60" s="85" t="s">
        <v>136</v>
      </c>
      <c r="H60" s="94"/>
      <c r="I60" s="94"/>
    </row>
    <row r="61" spans="2:9" ht="16.5" x14ac:dyDescent="0.25">
      <c r="B61" s="70" t="s">
        <v>137</v>
      </c>
      <c r="C61" s="170" t="s">
        <v>138</v>
      </c>
      <c r="D61" s="171"/>
      <c r="E61" s="171"/>
      <c r="F61" s="171"/>
      <c r="G61" s="171"/>
      <c r="H61" s="94"/>
      <c r="I61" s="94"/>
    </row>
    <row r="62" spans="2:9" ht="30" x14ac:dyDescent="0.25">
      <c r="B62" s="18">
        <v>8</v>
      </c>
      <c r="C62" s="63" t="s">
        <v>139</v>
      </c>
      <c r="D62" s="71" t="s">
        <v>140</v>
      </c>
      <c r="E62" s="72" t="s">
        <v>11</v>
      </c>
      <c r="F62" s="50">
        <f>F63*(F64+F65+F66+F67)</f>
        <v>27.612312527501576</v>
      </c>
      <c r="G62" s="19" t="s">
        <v>260</v>
      </c>
      <c r="H62" s="94"/>
      <c r="I62" s="94"/>
    </row>
    <row r="63" spans="2:9" ht="30" x14ac:dyDescent="0.25">
      <c r="B63" s="18" t="s">
        <v>141</v>
      </c>
      <c r="C63" s="37" t="s">
        <v>142</v>
      </c>
      <c r="D63" s="73" t="s">
        <v>143</v>
      </c>
      <c r="E63" s="74" t="s">
        <v>144</v>
      </c>
      <c r="F63" s="18">
        <v>0.755</v>
      </c>
      <c r="G63" s="19" t="s">
        <v>145</v>
      </c>
      <c r="H63" s="94"/>
      <c r="I63" s="94"/>
    </row>
    <row r="64" spans="2:9" ht="17.25" x14ac:dyDescent="0.25">
      <c r="B64" s="18" t="s">
        <v>146</v>
      </c>
      <c r="C64" s="56" t="s">
        <v>60</v>
      </c>
      <c r="D64" s="57" t="s">
        <v>61</v>
      </c>
      <c r="E64" s="58" t="s">
        <v>11</v>
      </c>
      <c r="F64" s="75">
        <f>F36</f>
        <v>22.363806857142858</v>
      </c>
      <c r="G64" s="76"/>
      <c r="H64" s="94"/>
      <c r="I64" s="94"/>
    </row>
    <row r="65" spans="2:9" ht="17.25" x14ac:dyDescent="0.25">
      <c r="B65" s="18" t="s">
        <v>147</v>
      </c>
      <c r="C65" s="16" t="s">
        <v>85</v>
      </c>
      <c r="D65" s="15" t="s">
        <v>86</v>
      </c>
      <c r="E65" s="58" t="s">
        <v>11</v>
      </c>
      <c r="F65" s="77">
        <f>F35</f>
        <v>1.6772855142857144</v>
      </c>
      <c r="G65" s="78"/>
      <c r="H65" s="94"/>
      <c r="I65" s="94"/>
    </row>
    <row r="66" spans="2:9" ht="17.25" x14ac:dyDescent="0.25">
      <c r="B66" s="21" t="s">
        <v>148</v>
      </c>
      <c r="C66" s="16" t="s">
        <v>90</v>
      </c>
      <c r="D66" s="15" t="s">
        <v>91</v>
      </c>
      <c r="E66" s="31" t="s">
        <v>11</v>
      </c>
      <c r="F66" s="77">
        <f>F38</f>
        <v>0.69036000000000008</v>
      </c>
      <c r="G66" s="78"/>
      <c r="H66" s="94"/>
      <c r="I66" s="94"/>
    </row>
    <row r="67" spans="2:9" ht="17.25" x14ac:dyDescent="0.25">
      <c r="B67" s="21" t="s">
        <v>149</v>
      </c>
      <c r="C67" s="16" t="s">
        <v>101</v>
      </c>
      <c r="D67" s="15" t="s">
        <v>102</v>
      </c>
      <c r="E67" s="31" t="s">
        <v>11</v>
      </c>
      <c r="F67" s="77">
        <f>F42</f>
        <v>11.841147002745696</v>
      </c>
      <c r="G67" s="78"/>
      <c r="H67" s="94"/>
      <c r="I67" s="94"/>
    </row>
    <row r="68" spans="2:9" ht="16.5" x14ac:dyDescent="0.25">
      <c r="B68" s="21" t="s">
        <v>150</v>
      </c>
      <c r="C68" s="151" t="s">
        <v>151</v>
      </c>
      <c r="D68" s="152"/>
      <c r="E68" s="152"/>
      <c r="F68" s="152"/>
      <c r="G68" s="153"/>
      <c r="H68" s="94"/>
      <c r="I68" s="94"/>
    </row>
    <row r="69" spans="2:9" ht="17.25" x14ac:dyDescent="0.25">
      <c r="B69" s="18">
        <v>9</v>
      </c>
      <c r="C69" s="16" t="s">
        <v>152</v>
      </c>
      <c r="D69" s="15" t="s">
        <v>153</v>
      </c>
      <c r="E69" s="31" t="s">
        <v>11</v>
      </c>
      <c r="F69" s="79">
        <f>F6+F18+F21+F26+F35+F38+F42+F62</f>
        <v>75.079687698268174</v>
      </c>
      <c r="G69" s="19" t="s">
        <v>154</v>
      </c>
      <c r="H69" s="94"/>
      <c r="I69" s="94"/>
    </row>
    <row r="70" spans="2:9" x14ac:dyDescent="0.25">
      <c r="B70" s="22"/>
      <c r="C70" s="22"/>
      <c r="D70" s="22"/>
      <c r="E70" s="22"/>
      <c r="F70" s="22"/>
      <c r="G70" s="22"/>
      <c r="H70" s="97"/>
      <c r="I70" s="97"/>
    </row>
    <row r="71" spans="2:9" ht="19.5" x14ac:dyDescent="0.3">
      <c r="B71" s="154" t="s">
        <v>155</v>
      </c>
      <c r="C71" s="154"/>
      <c r="D71" s="154"/>
      <c r="E71" s="154"/>
      <c r="F71" s="154"/>
      <c r="G71" s="154"/>
      <c r="H71" s="97"/>
      <c r="I71" s="97"/>
    </row>
    <row r="72" spans="2:9" x14ac:dyDescent="0.25">
      <c r="B72" s="23"/>
      <c r="C72" s="23"/>
      <c r="D72" s="23"/>
      <c r="E72" s="23"/>
      <c r="F72" s="23"/>
      <c r="G72" s="23"/>
      <c r="H72" s="97"/>
      <c r="I72" s="97"/>
    </row>
    <row r="73" spans="2:9" ht="30" x14ac:dyDescent="0.25">
      <c r="B73" s="18">
        <v>10</v>
      </c>
      <c r="C73" s="16" t="s">
        <v>156</v>
      </c>
      <c r="D73" s="20" t="s">
        <v>157</v>
      </c>
      <c r="E73" s="31" t="s">
        <v>21</v>
      </c>
      <c r="F73" s="17">
        <f>(F74*F75*F76/F77)+F79*F80*F78*F82*F83/(12*F81)</f>
        <v>2277713.5080149169</v>
      </c>
      <c r="G73" s="19" t="s">
        <v>261</v>
      </c>
      <c r="H73" s="97"/>
      <c r="I73" s="97"/>
    </row>
    <row r="74" spans="2:9" ht="17.25" x14ac:dyDescent="0.25">
      <c r="B74" s="80" t="s">
        <v>158</v>
      </c>
      <c r="C74" s="16" t="s">
        <v>159</v>
      </c>
      <c r="D74" s="15" t="s">
        <v>153</v>
      </c>
      <c r="E74" s="31" t="s">
        <v>11</v>
      </c>
      <c r="F74" s="17">
        <f>F69</f>
        <v>75.079687698268174</v>
      </c>
      <c r="G74" s="19" t="s">
        <v>12</v>
      </c>
      <c r="H74" s="97"/>
      <c r="I74" s="97"/>
    </row>
    <row r="75" spans="2:9" ht="30" x14ac:dyDescent="0.25">
      <c r="B75" s="18" t="s">
        <v>160</v>
      </c>
      <c r="C75" s="16" t="s">
        <v>161</v>
      </c>
      <c r="D75" s="15" t="s">
        <v>262</v>
      </c>
      <c r="E75" s="31" t="s">
        <v>144</v>
      </c>
      <c r="F75" s="20">
        <v>1.0960000000000001</v>
      </c>
      <c r="G75" s="19" t="s">
        <v>16</v>
      </c>
      <c r="H75" s="97"/>
      <c r="I75" s="97"/>
    </row>
    <row r="76" spans="2:9" ht="30" customHeight="1" x14ac:dyDescent="0.25">
      <c r="B76" s="18" t="s">
        <v>162</v>
      </c>
      <c r="C76" s="16" t="s">
        <v>18</v>
      </c>
      <c r="D76" s="15" t="s">
        <v>17</v>
      </c>
      <c r="E76" s="31" t="s">
        <v>19</v>
      </c>
      <c r="F76" s="122">
        <v>25188.799999999999</v>
      </c>
      <c r="G76" s="111" t="s">
        <v>376</v>
      </c>
      <c r="H76" s="97"/>
      <c r="I76" s="97"/>
    </row>
    <row r="77" spans="2:9" ht="45" x14ac:dyDescent="0.25">
      <c r="B77" s="18" t="s">
        <v>163</v>
      </c>
      <c r="C77" s="16" t="s">
        <v>164</v>
      </c>
      <c r="D77" s="15" t="s">
        <v>165</v>
      </c>
      <c r="E77" s="31" t="s">
        <v>16</v>
      </c>
      <c r="F77" s="85">
        <v>0.91</v>
      </c>
      <c r="G77" s="111" t="s">
        <v>314</v>
      </c>
      <c r="H77" s="97"/>
      <c r="I77" s="97"/>
    </row>
    <row r="78" spans="2:9" x14ac:dyDescent="0.25">
      <c r="B78" s="80" t="s">
        <v>166</v>
      </c>
      <c r="C78" s="16" t="s">
        <v>265</v>
      </c>
      <c r="D78" s="15" t="s">
        <v>266</v>
      </c>
      <c r="E78" s="31" t="s">
        <v>182</v>
      </c>
      <c r="F78" s="81">
        <v>1</v>
      </c>
      <c r="G78" s="19" t="s">
        <v>267</v>
      </c>
      <c r="H78" s="97"/>
      <c r="I78" s="97"/>
    </row>
    <row r="79" spans="2:9" ht="30" x14ac:dyDescent="0.25">
      <c r="B79" s="80" t="s">
        <v>167</v>
      </c>
      <c r="C79" s="16" t="s">
        <v>263</v>
      </c>
      <c r="D79" s="15" t="s">
        <v>168</v>
      </c>
      <c r="E79" s="31" t="s">
        <v>169</v>
      </c>
      <c r="F79" s="110">
        <v>1</v>
      </c>
      <c r="G79" s="85" t="s">
        <v>170</v>
      </c>
      <c r="H79" s="97"/>
      <c r="I79" s="97"/>
    </row>
    <row r="80" spans="2:9" ht="45" x14ac:dyDescent="0.25">
      <c r="B80" s="80" t="s">
        <v>171</v>
      </c>
      <c r="C80" s="16" t="s">
        <v>172</v>
      </c>
      <c r="D80" s="15" t="s">
        <v>173</v>
      </c>
      <c r="E80" s="31" t="s">
        <v>21</v>
      </c>
      <c r="F80" s="112">
        <v>0</v>
      </c>
      <c r="G80" s="85" t="s">
        <v>174</v>
      </c>
      <c r="H80" s="97"/>
      <c r="I80" s="97"/>
    </row>
    <row r="81" spans="2:9" x14ac:dyDescent="0.25">
      <c r="B81" s="80" t="s">
        <v>175</v>
      </c>
      <c r="C81" s="16" t="s">
        <v>176</v>
      </c>
      <c r="D81" s="15" t="s">
        <v>177</v>
      </c>
      <c r="E81" s="31" t="s">
        <v>178</v>
      </c>
      <c r="F81" s="32">
        <v>7</v>
      </c>
      <c r="G81" s="19" t="s">
        <v>264</v>
      </c>
      <c r="H81" s="97"/>
      <c r="I81" s="97"/>
    </row>
    <row r="82" spans="2:9" ht="45" x14ac:dyDescent="0.25">
      <c r="B82" s="80" t="s">
        <v>179</v>
      </c>
      <c r="C82" s="16" t="s">
        <v>180</v>
      </c>
      <c r="D82" s="15" t="s">
        <v>181</v>
      </c>
      <c r="E82" s="31" t="s">
        <v>182</v>
      </c>
      <c r="F82" s="65">
        <v>1.046</v>
      </c>
      <c r="G82" s="19" t="s">
        <v>183</v>
      </c>
      <c r="H82" s="97"/>
      <c r="I82" s="97"/>
    </row>
    <row r="83" spans="2:9" ht="30" x14ac:dyDescent="0.25">
      <c r="B83" s="82" t="s">
        <v>268</v>
      </c>
      <c r="C83" s="16" t="s">
        <v>184</v>
      </c>
      <c r="D83" s="15" t="s">
        <v>185</v>
      </c>
      <c r="E83" s="31" t="s">
        <v>219</v>
      </c>
      <c r="F83" s="110">
        <v>7</v>
      </c>
      <c r="G83" s="111" t="s">
        <v>375</v>
      </c>
      <c r="H83" s="97"/>
      <c r="I83" s="97"/>
    </row>
    <row r="84" spans="2:9" ht="30" x14ac:dyDescent="0.25">
      <c r="B84" s="80" t="s">
        <v>298</v>
      </c>
      <c r="C84" s="16" t="s">
        <v>240</v>
      </c>
      <c r="D84" s="15" t="s">
        <v>239</v>
      </c>
      <c r="E84" s="31" t="s">
        <v>19</v>
      </c>
      <c r="F84" s="127">
        <f>3*30.3*276.8</f>
        <v>25161.120000000003</v>
      </c>
      <c r="G84" s="85"/>
      <c r="H84" s="97"/>
      <c r="I84" s="97"/>
    </row>
    <row r="85" spans="2:9" ht="29.45" customHeight="1" x14ac:dyDescent="0.25">
      <c r="B85" s="82" t="s">
        <v>299</v>
      </c>
      <c r="C85" s="19" t="s">
        <v>269</v>
      </c>
      <c r="D85" s="15" t="s">
        <v>186</v>
      </c>
      <c r="E85" s="31" t="s">
        <v>187</v>
      </c>
      <c r="F85" s="114">
        <f>F76*30</f>
        <v>755664</v>
      </c>
      <c r="G85" s="85" t="s">
        <v>188</v>
      </c>
      <c r="H85" s="97"/>
      <c r="I85" s="97"/>
    </row>
    <row r="86" spans="2:9" ht="30" customHeight="1" x14ac:dyDescent="0.25">
      <c r="B86" s="80" t="s">
        <v>300</v>
      </c>
      <c r="C86" s="19" t="s">
        <v>270</v>
      </c>
      <c r="D86" s="15" t="s">
        <v>189</v>
      </c>
      <c r="E86" s="31" t="s">
        <v>187</v>
      </c>
      <c r="F86" s="114">
        <f>F85</f>
        <v>755664</v>
      </c>
      <c r="G86" s="85" t="s">
        <v>190</v>
      </c>
      <c r="H86" s="97"/>
      <c r="I86" s="97"/>
    </row>
    <row r="87" spans="2:9" ht="45.75" customHeight="1" x14ac:dyDescent="0.25">
      <c r="B87" s="82" t="s">
        <v>301</v>
      </c>
      <c r="C87" s="19" t="s">
        <v>295</v>
      </c>
      <c r="D87" s="15" t="s">
        <v>191</v>
      </c>
      <c r="E87" s="31" t="s">
        <v>21</v>
      </c>
      <c r="F87" s="141">
        <v>514497.51</v>
      </c>
      <c r="G87" s="85" t="s">
        <v>296</v>
      </c>
      <c r="H87" s="97"/>
      <c r="I87" s="97"/>
    </row>
    <row r="88" spans="2:9" ht="57.75" customHeight="1" x14ac:dyDescent="0.25">
      <c r="B88" s="80" t="s">
        <v>302</v>
      </c>
      <c r="C88" s="18" t="s">
        <v>192</v>
      </c>
      <c r="D88" s="15" t="s">
        <v>193</v>
      </c>
      <c r="E88" s="15" t="s">
        <v>182</v>
      </c>
      <c r="F88" s="113">
        <v>1.0409999999999999</v>
      </c>
      <c r="G88" s="84" t="s">
        <v>294</v>
      </c>
      <c r="H88" s="97"/>
      <c r="I88" s="97"/>
    </row>
    <row r="89" spans="2:9" ht="34.5" customHeight="1" x14ac:dyDescent="0.25">
      <c r="B89" s="82" t="s">
        <v>303</v>
      </c>
      <c r="C89" s="18"/>
      <c r="D89" s="15" t="s">
        <v>231</v>
      </c>
      <c r="E89" s="31" t="s">
        <v>21</v>
      </c>
      <c r="F89" s="83">
        <v>0</v>
      </c>
      <c r="G89" s="84" t="s">
        <v>233</v>
      </c>
      <c r="H89" s="97"/>
      <c r="I89" s="97"/>
    </row>
    <row r="90" spans="2:9" ht="29.25" customHeight="1" x14ac:dyDescent="0.25">
      <c r="B90" s="80" t="s">
        <v>304</v>
      </c>
      <c r="C90" s="18"/>
      <c r="D90" s="15" t="s">
        <v>232</v>
      </c>
      <c r="E90" s="31" t="s">
        <v>21</v>
      </c>
      <c r="F90" s="83">
        <v>0</v>
      </c>
      <c r="G90" s="84" t="s">
        <v>234</v>
      </c>
      <c r="H90" s="97"/>
      <c r="I90" s="97"/>
    </row>
    <row r="91" spans="2:9" ht="21" customHeight="1" x14ac:dyDescent="0.25">
      <c r="B91" s="82" t="s">
        <v>305</v>
      </c>
      <c r="C91" s="18"/>
      <c r="D91" s="15" t="s">
        <v>236</v>
      </c>
      <c r="E91" s="31" t="s">
        <v>182</v>
      </c>
      <c r="F91" s="83">
        <v>1</v>
      </c>
      <c r="G91" s="84" t="s">
        <v>237</v>
      </c>
      <c r="H91" s="97"/>
      <c r="I91" s="97"/>
    </row>
    <row r="92" spans="2:9" ht="35.25" customHeight="1" x14ac:dyDescent="0.25">
      <c r="B92" s="80" t="s">
        <v>306</v>
      </c>
      <c r="C92" s="18"/>
      <c r="D92" s="15" t="s">
        <v>194</v>
      </c>
      <c r="E92" s="15"/>
      <c r="F92" s="90">
        <f>F73-F87</f>
        <v>1763215.9980149169</v>
      </c>
      <c r="G92" s="19" t="s">
        <v>235</v>
      </c>
      <c r="H92" s="97"/>
      <c r="I92" s="97"/>
    </row>
    <row r="93" spans="2:9" x14ac:dyDescent="0.25">
      <c r="B93" s="93"/>
      <c r="C93" s="93"/>
      <c r="D93" s="93"/>
      <c r="E93" s="93"/>
      <c r="F93" s="95"/>
      <c r="G93" s="96"/>
      <c r="H93" s="97"/>
      <c r="I93" s="97"/>
    </row>
    <row r="94" spans="2:9" x14ac:dyDescent="0.25">
      <c r="B94" s="93"/>
      <c r="C94" s="93"/>
      <c r="D94" s="98"/>
      <c r="E94" s="98"/>
      <c r="F94" s="96"/>
      <c r="G94" s="99"/>
      <c r="H94" s="97"/>
      <c r="I94" s="97"/>
    </row>
    <row r="95" spans="2:9" x14ac:dyDescent="0.25">
      <c r="B95" s="100"/>
      <c r="C95" s="100"/>
      <c r="D95" s="100"/>
      <c r="E95" s="100"/>
      <c r="F95" s="101"/>
      <c r="G95" s="102"/>
      <c r="H95" s="100"/>
      <c r="I95" s="100"/>
    </row>
  </sheetData>
  <mergeCells count="12">
    <mergeCell ref="B71:G71"/>
    <mergeCell ref="B1:G1"/>
    <mergeCell ref="C2:G2"/>
    <mergeCell ref="C5:G5"/>
    <mergeCell ref="C17:G17"/>
    <mergeCell ref="C20:G20"/>
    <mergeCell ref="C25:G25"/>
    <mergeCell ref="C34:G34"/>
    <mergeCell ref="C37:G37"/>
    <mergeCell ref="C41:G41"/>
    <mergeCell ref="C61:G61"/>
    <mergeCell ref="C68:G68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I95"/>
  <sheetViews>
    <sheetView topLeftCell="A49" zoomScale="80" zoomScaleNormal="80" workbookViewId="0">
      <selection activeCell="F93" sqref="F93"/>
    </sheetView>
  </sheetViews>
  <sheetFormatPr defaultRowHeight="15" x14ac:dyDescent="0.25"/>
  <cols>
    <col min="2" max="2" width="11.42578125" customWidth="1"/>
    <col min="3" max="3" width="48" customWidth="1"/>
    <col min="4" max="4" width="12.5703125" customWidth="1"/>
    <col min="6" max="6" width="16.42578125" customWidth="1"/>
    <col min="7" max="7" width="46.5703125" customWidth="1"/>
    <col min="8" max="8" width="52.140625" customWidth="1"/>
  </cols>
  <sheetData>
    <row r="1" spans="2:9" ht="19.5" x14ac:dyDescent="0.3">
      <c r="B1" s="158" t="s">
        <v>0</v>
      </c>
      <c r="C1" s="158"/>
      <c r="D1" s="158"/>
      <c r="E1" s="158"/>
      <c r="F1" s="158"/>
      <c r="G1" s="158"/>
      <c r="H1" s="1"/>
      <c r="I1" s="1"/>
    </row>
    <row r="2" spans="2:9" ht="19.5" x14ac:dyDescent="0.3">
      <c r="B2" s="118"/>
      <c r="C2" s="158" t="s">
        <v>326</v>
      </c>
      <c r="D2" s="158"/>
      <c r="E2" s="158"/>
      <c r="F2" s="158"/>
      <c r="G2" s="158"/>
      <c r="H2" s="1"/>
      <c r="I2" s="1"/>
    </row>
    <row r="3" spans="2:9" ht="15.75" thickBot="1" x14ac:dyDescent="0.3">
      <c r="B3" s="1"/>
      <c r="C3" s="1"/>
      <c r="D3" s="1"/>
      <c r="E3" s="1"/>
      <c r="F3" s="1"/>
      <c r="G3" s="1"/>
      <c r="H3" s="1"/>
      <c r="I3" s="1"/>
    </row>
    <row r="4" spans="2:9" ht="30.75" thickBot="1" x14ac:dyDescent="0.3">
      <c r="B4" s="13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7" t="s">
        <v>6</v>
      </c>
      <c r="H4" s="94"/>
      <c r="I4" s="94"/>
    </row>
    <row r="5" spans="2:9" ht="17.25" thickBot="1" x14ac:dyDescent="0.3">
      <c r="B5" s="24" t="s">
        <v>7</v>
      </c>
      <c r="C5" s="159" t="s">
        <v>275</v>
      </c>
      <c r="D5" s="159"/>
      <c r="E5" s="159"/>
      <c r="F5" s="159"/>
      <c r="G5" s="160"/>
      <c r="H5" s="94"/>
      <c r="I5" s="94"/>
    </row>
    <row r="6" spans="2:9" ht="30" x14ac:dyDescent="0.25">
      <c r="B6" s="25">
        <v>1</v>
      </c>
      <c r="C6" s="26" t="s">
        <v>9</v>
      </c>
      <c r="D6" s="27" t="s">
        <v>10</v>
      </c>
      <c r="E6" s="28" t="s">
        <v>11</v>
      </c>
      <c r="F6" s="92">
        <f>((F7*F8)/F16)*F12*F13*(F14/F15)</f>
        <v>10.169414393195167</v>
      </c>
      <c r="G6" s="29" t="s">
        <v>238</v>
      </c>
      <c r="H6" s="94"/>
      <c r="I6" s="94"/>
    </row>
    <row r="7" spans="2:9" x14ac:dyDescent="0.25">
      <c r="B7" s="30" t="s">
        <v>13</v>
      </c>
      <c r="C7" s="16" t="s">
        <v>14</v>
      </c>
      <c r="D7" s="15">
        <v>12</v>
      </c>
      <c r="E7" s="31" t="s">
        <v>15</v>
      </c>
      <c r="F7" s="32">
        <v>7</v>
      </c>
      <c r="G7" s="33"/>
      <c r="H7" s="94"/>
      <c r="I7" s="94"/>
    </row>
    <row r="8" spans="2:9" x14ac:dyDescent="0.25">
      <c r="B8" s="34" t="s">
        <v>20</v>
      </c>
      <c r="C8" s="16" t="s">
        <v>274</v>
      </c>
      <c r="D8" s="15" t="s">
        <v>206</v>
      </c>
      <c r="E8" s="31" t="s">
        <v>21</v>
      </c>
      <c r="F8" s="17">
        <f>F9*F10*F11</f>
        <v>88051.199999999997</v>
      </c>
      <c r="G8" s="33" t="s">
        <v>286</v>
      </c>
      <c r="H8" s="94"/>
      <c r="I8" s="94"/>
    </row>
    <row r="9" spans="2:9" ht="45" x14ac:dyDescent="0.25">
      <c r="B9" s="35" t="s">
        <v>22</v>
      </c>
      <c r="C9" s="16" t="s">
        <v>23</v>
      </c>
      <c r="D9" s="15" t="s">
        <v>24</v>
      </c>
      <c r="E9" s="31" t="s">
        <v>21</v>
      </c>
      <c r="F9" s="87">
        <v>68790</v>
      </c>
      <c r="G9" s="88" t="str">
        <f>'501'!G9</f>
        <v xml:space="preserve">согласно фактическим данным предриятий за 2024г. </v>
      </c>
      <c r="H9" s="94"/>
      <c r="I9" s="94"/>
    </row>
    <row r="10" spans="2:9" ht="45" x14ac:dyDescent="0.25">
      <c r="B10" s="30" t="s">
        <v>25</v>
      </c>
      <c r="C10" s="37" t="s">
        <v>26</v>
      </c>
      <c r="D10" s="38" t="s">
        <v>27</v>
      </c>
      <c r="E10" s="31" t="s">
        <v>12</v>
      </c>
      <c r="F10" s="39">
        <v>1.28</v>
      </c>
      <c r="G10" s="33" t="s">
        <v>271</v>
      </c>
      <c r="H10" s="94"/>
      <c r="I10" s="94"/>
    </row>
    <row r="11" spans="2:9" ht="45" x14ac:dyDescent="0.25">
      <c r="B11" s="30" t="s">
        <v>28</v>
      </c>
      <c r="C11" s="37" t="s">
        <v>29</v>
      </c>
      <c r="D11" s="38" t="s">
        <v>30</v>
      </c>
      <c r="E11" s="31" t="s">
        <v>12</v>
      </c>
      <c r="F11" s="39">
        <v>1</v>
      </c>
      <c r="G11" s="33" t="s">
        <v>31</v>
      </c>
      <c r="H11" s="94"/>
      <c r="I11" s="94"/>
    </row>
    <row r="12" spans="2:9" ht="30" x14ac:dyDescent="0.25">
      <c r="B12" s="30" t="s">
        <v>32</v>
      </c>
      <c r="C12" s="16" t="s">
        <v>33</v>
      </c>
      <c r="D12" s="15" t="s">
        <v>34</v>
      </c>
      <c r="E12" s="31" t="s">
        <v>8</v>
      </c>
      <c r="F12" s="103">
        <v>330</v>
      </c>
      <c r="G12" s="88" t="s">
        <v>393</v>
      </c>
      <c r="H12" s="94"/>
      <c r="I12" s="94"/>
    </row>
    <row r="13" spans="2:9" ht="75" x14ac:dyDescent="0.25">
      <c r="B13" s="30" t="s">
        <v>35</v>
      </c>
      <c r="C13" s="40" t="s">
        <v>272</v>
      </c>
      <c r="D13" s="15" t="s">
        <v>36</v>
      </c>
      <c r="E13" s="31" t="s">
        <v>182</v>
      </c>
      <c r="F13" s="39">
        <v>1.06</v>
      </c>
      <c r="G13" s="33"/>
      <c r="H13" s="94"/>
      <c r="I13" s="94"/>
    </row>
    <row r="14" spans="2:9" ht="32.25" customHeight="1" x14ac:dyDescent="0.25">
      <c r="B14" s="30" t="s">
        <v>37</v>
      </c>
      <c r="C14" s="16" t="s">
        <v>38</v>
      </c>
      <c r="D14" s="15" t="s">
        <v>39</v>
      </c>
      <c r="E14" s="15" t="s">
        <v>182</v>
      </c>
      <c r="F14" s="104">
        <v>1.0469999999999999</v>
      </c>
      <c r="G14" s="33" t="str">
        <f>'501'!G14</f>
        <v>Индекс потребительский цен из прогноза Минэкономразвития РФ</v>
      </c>
      <c r="H14" s="94"/>
      <c r="I14" s="94"/>
    </row>
    <row r="15" spans="2:9" x14ac:dyDescent="0.25">
      <c r="B15" s="34" t="s">
        <v>41</v>
      </c>
      <c r="C15" s="16" t="s">
        <v>18</v>
      </c>
      <c r="D15" s="15" t="s">
        <v>17</v>
      </c>
      <c r="E15" s="31" t="s">
        <v>19</v>
      </c>
      <c r="F15" s="122">
        <v>12526.8</v>
      </c>
      <c r="G15" s="88" t="s">
        <v>394</v>
      </c>
      <c r="H15" s="94"/>
      <c r="I15" s="94"/>
    </row>
    <row r="16" spans="2:9" ht="30.75" thickBot="1" x14ac:dyDescent="0.3">
      <c r="B16" s="41" t="s">
        <v>42</v>
      </c>
      <c r="C16" s="42" t="s">
        <v>241</v>
      </c>
      <c r="D16" s="43" t="s">
        <v>207</v>
      </c>
      <c r="E16" s="52" t="s">
        <v>8</v>
      </c>
      <c r="F16" s="44">
        <v>1772</v>
      </c>
      <c r="G16" s="45"/>
      <c r="H16" s="94"/>
      <c r="I16" s="94"/>
    </row>
    <row r="17" spans="2:9" ht="17.25" thickBot="1" x14ac:dyDescent="0.3">
      <c r="B17" s="46" t="s">
        <v>45</v>
      </c>
      <c r="C17" s="161" t="s">
        <v>276</v>
      </c>
      <c r="D17" s="162"/>
      <c r="E17" s="162"/>
      <c r="F17" s="162"/>
      <c r="G17" s="163"/>
      <c r="H17" s="94"/>
      <c r="I17" s="94"/>
    </row>
    <row r="18" spans="2:9" ht="60" x14ac:dyDescent="0.25">
      <c r="B18" s="25">
        <v>2</v>
      </c>
      <c r="C18" s="47" t="s">
        <v>46</v>
      </c>
      <c r="D18" s="27" t="s">
        <v>208</v>
      </c>
      <c r="E18" s="28" t="s">
        <v>11</v>
      </c>
      <c r="F18" s="115">
        <f>F6*F19</f>
        <v>0</v>
      </c>
      <c r="G18" s="116" t="s">
        <v>307</v>
      </c>
      <c r="H18" s="117" t="s">
        <v>309</v>
      </c>
      <c r="I18" s="94"/>
    </row>
    <row r="19" spans="2:9" ht="135.75" thickBot="1" x14ac:dyDescent="0.3">
      <c r="B19" s="48" t="s">
        <v>308</v>
      </c>
      <c r="C19" s="16" t="s">
        <v>273</v>
      </c>
      <c r="D19" s="15" t="s">
        <v>243</v>
      </c>
      <c r="E19" s="31" t="s">
        <v>182</v>
      </c>
      <c r="F19" s="83">
        <v>0</v>
      </c>
      <c r="G19" s="88" t="s">
        <v>242</v>
      </c>
      <c r="H19" s="94"/>
      <c r="I19" s="94"/>
    </row>
    <row r="20" spans="2:9" ht="16.5" x14ac:dyDescent="0.25">
      <c r="B20" s="49" t="s">
        <v>48</v>
      </c>
      <c r="C20" s="155" t="s">
        <v>277</v>
      </c>
      <c r="D20" s="156"/>
      <c r="E20" s="156"/>
      <c r="F20" s="156"/>
      <c r="G20" s="157"/>
      <c r="H20" s="94"/>
      <c r="I20" s="94"/>
    </row>
    <row r="21" spans="2:9" ht="30" x14ac:dyDescent="0.25">
      <c r="B21" s="18">
        <v>3</v>
      </c>
      <c r="C21" s="16" t="s">
        <v>49</v>
      </c>
      <c r="D21" s="15" t="s">
        <v>50</v>
      </c>
      <c r="E21" s="31" t="s">
        <v>11</v>
      </c>
      <c r="F21" s="50">
        <f>SUM(F22+F23)*(F24/100)</f>
        <v>3.0711631467449401</v>
      </c>
      <c r="G21" s="19" t="s">
        <v>244</v>
      </c>
      <c r="H21" s="94"/>
      <c r="I21" s="94"/>
    </row>
    <row r="22" spans="2:9" ht="30" x14ac:dyDescent="0.25">
      <c r="B22" s="18" t="s">
        <v>51</v>
      </c>
      <c r="C22" s="16" t="s">
        <v>52</v>
      </c>
      <c r="D22" s="15" t="s">
        <v>10</v>
      </c>
      <c r="E22" s="31" t="s">
        <v>11</v>
      </c>
      <c r="F22" s="109">
        <f>SUM(F6)</f>
        <v>10.169414393195167</v>
      </c>
      <c r="G22" s="51"/>
      <c r="H22" s="94"/>
      <c r="I22" s="94"/>
    </row>
    <row r="23" spans="2:9" ht="30" x14ac:dyDescent="0.25">
      <c r="B23" s="18" t="s">
        <v>53</v>
      </c>
      <c r="C23" s="16" t="s">
        <v>46</v>
      </c>
      <c r="D23" s="15" t="s">
        <v>47</v>
      </c>
      <c r="E23" s="31" t="s">
        <v>11</v>
      </c>
      <c r="F23" s="39">
        <f>SUM(F18)</f>
        <v>0</v>
      </c>
      <c r="G23" s="51"/>
      <c r="H23" s="94"/>
      <c r="I23" s="94"/>
    </row>
    <row r="24" spans="2:9" ht="30.75" thickBot="1" x14ac:dyDescent="0.3">
      <c r="B24" s="41" t="s">
        <v>54</v>
      </c>
      <c r="C24" s="42" t="s">
        <v>280</v>
      </c>
      <c r="D24" s="43" t="s">
        <v>56</v>
      </c>
      <c r="E24" s="52" t="s">
        <v>57</v>
      </c>
      <c r="F24" s="53">
        <v>30.2</v>
      </c>
      <c r="G24" s="54" t="s">
        <v>58</v>
      </c>
      <c r="H24" s="94"/>
      <c r="I24" s="94"/>
    </row>
    <row r="25" spans="2:9" ht="16.5" x14ac:dyDescent="0.25">
      <c r="B25" s="55" t="s">
        <v>59</v>
      </c>
      <c r="C25" s="164" t="s">
        <v>278</v>
      </c>
      <c r="D25" s="165"/>
      <c r="E25" s="165"/>
      <c r="F25" s="165"/>
      <c r="G25" s="166"/>
      <c r="H25" s="94"/>
      <c r="I25" s="94"/>
    </row>
    <row r="26" spans="2:9" ht="30" x14ac:dyDescent="0.25">
      <c r="B26" s="18">
        <v>4</v>
      </c>
      <c r="C26" s="56" t="s">
        <v>60</v>
      </c>
      <c r="D26" s="57" t="s">
        <v>61</v>
      </c>
      <c r="E26" s="58" t="s">
        <v>11</v>
      </c>
      <c r="F26" s="59">
        <f>F27*((F28/100)*(1+0.01*F29)+((F30/F31)*(F32/12)))*F33</f>
        <v>22.363806857142858</v>
      </c>
      <c r="G26" s="60" t="s">
        <v>245</v>
      </c>
      <c r="H26" s="94"/>
      <c r="I26" s="94"/>
    </row>
    <row r="27" spans="2:9" x14ac:dyDescent="0.25">
      <c r="B27" s="61" t="s">
        <v>62</v>
      </c>
      <c r="C27" s="16" t="s">
        <v>63</v>
      </c>
      <c r="D27" s="15" t="s">
        <v>64</v>
      </c>
      <c r="E27" s="31" t="s">
        <v>21</v>
      </c>
      <c r="F27" s="87">
        <f>'501'!F27</f>
        <v>72</v>
      </c>
      <c r="G27" s="85" t="s">
        <v>372</v>
      </c>
      <c r="H27" s="94"/>
      <c r="I27" s="94"/>
    </row>
    <row r="28" spans="2:9" ht="119.25" x14ac:dyDescent="0.25">
      <c r="B28" s="61" t="s">
        <v>65</v>
      </c>
      <c r="C28" s="16" t="s">
        <v>279</v>
      </c>
      <c r="D28" s="15" t="s">
        <v>246</v>
      </c>
      <c r="E28" s="31" t="s">
        <v>66</v>
      </c>
      <c r="F28" s="91">
        <v>26.2</v>
      </c>
      <c r="G28" s="85" t="s">
        <v>386</v>
      </c>
      <c r="H28" s="94"/>
      <c r="I28" s="94"/>
    </row>
    <row r="29" spans="2:9" ht="150" x14ac:dyDescent="0.25">
      <c r="B29" s="61" t="s">
        <v>67</v>
      </c>
      <c r="C29" s="16" t="s">
        <v>68</v>
      </c>
      <c r="D29" s="15" t="s">
        <v>69</v>
      </c>
      <c r="E29" s="31" t="s">
        <v>57</v>
      </c>
      <c r="F29" s="36">
        <v>10</v>
      </c>
      <c r="G29" s="19" t="s">
        <v>70</v>
      </c>
      <c r="H29" s="94"/>
      <c r="I29" s="94"/>
    </row>
    <row r="30" spans="2:9" ht="60" x14ac:dyDescent="0.25">
      <c r="B30" s="61" t="s">
        <v>71</v>
      </c>
      <c r="C30" s="16" t="s">
        <v>72</v>
      </c>
      <c r="D30" s="62" t="s">
        <v>247</v>
      </c>
      <c r="E30" s="31" t="s">
        <v>73</v>
      </c>
      <c r="F30" s="105">
        <v>2.5</v>
      </c>
      <c r="G30" s="19" t="s">
        <v>382</v>
      </c>
      <c r="H30" s="94"/>
      <c r="I30" s="94"/>
    </row>
    <row r="31" spans="2:9" ht="30" x14ac:dyDescent="0.25">
      <c r="B31" s="61" t="s">
        <v>74</v>
      </c>
      <c r="C31" s="16" t="s">
        <v>75</v>
      </c>
      <c r="D31" s="62" t="s">
        <v>76</v>
      </c>
      <c r="E31" s="31" t="s">
        <v>77</v>
      </c>
      <c r="F31" s="106">
        <v>70</v>
      </c>
      <c r="G31" s="88"/>
      <c r="H31" s="94"/>
      <c r="I31" s="94"/>
    </row>
    <row r="32" spans="2:9" ht="45" x14ac:dyDescent="0.25">
      <c r="B32" s="61" t="s">
        <v>78</v>
      </c>
      <c r="C32" s="16" t="s">
        <v>79</v>
      </c>
      <c r="D32" s="62" t="s">
        <v>80</v>
      </c>
      <c r="E32" s="31" t="s">
        <v>220</v>
      </c>
      <c r="F32" s="107">
        <v>4</v>
      </c>
      <c r="G32" s="88" t="s">
        <v>391</v>
      </c>
      <c r="H32" s="94"/>
      <c r="I32" s="94"/>
    </row>
    <row r="33" spans="2:9" ht="30" x14ac:dyDescent="0.25">
      <c r="B33" s="61" t="s">
        <v>81</v>
      </c>
      <c r="C33" s="16" t="s">
        <v>82</v>
      </c>
      <c r="D33" s="15" t="s">
        <v>83</v>
      </c>
      <c r="E33" s="15" t="s">
        <v>182</v>
      </c>
      <c r="F33" s="104">
        <v>1.0349999999999999</v>
      </c>
      <c r="G33" s="63" t="s">
        <v>218</v>
      </c>
      <c r="H33" s="94"/>
      <c r="I33" s="94"/>
    </row>
    <row r="34" spans="2:9" ht="16.5" x14ac:dyDescent="0.25">
      <c r="B34" s="18" t="s">
        <v>84</v>
      </c>
      <c r="C34" s="167" t="s">
        <v>281</v>
      </c>
      <c r="D34" s="168"/>
      <c r="E34" s="168"/>
      <c r="F34" s="168"/>
      <c r="G34" s="169"/>
      <c r="H34" s="94"/>
      <c r="I34" s="94"/>
    </row>
    <row r="35" spans="2:9" ht="30" x14ac:dyDescent="0.25">
      <c r="B35" s="18">
        <v>5</v>
      </c>
      <c r="C35" s="16" t="s">
        <v>85</v>
      </c>
      <c r="D35" s="15" t="s">
        <v>86</v>
      </c>
      <c r="E35" s="58" t="s">
        <v>11</v>
      </c>
      <c r="F35" s="64">
        <f>0.075*F36</f>
        <v>1.6772855142857144</v>
      </c>
      <c r="G35" s="19" t="s">
        <v>248</v>
      </c>
      <c r="H35" s="94"/>
      <c r="I35" s="94"/>
    </row>
    <row r="36" spans="2:9" ht="17.25" x14ac:dyDescent="0.25">
      <c r="B36" s="18" t="s">
        <v>87</v>
      </c>
      <c r="C36" s="56" t="s">
        <v>60</v>
      </c>
      <c r="D36" s="57" t="s">
        <v>61</v>
      </c>
      <c r="E36" s="58" t="s">
        <v>11</v>
      </c>
      <c r="F36" s="65">
        <f>SUM(F26)</f>
        <v>22.363806857142858</v>
      </c>
      <c r="G36" s="51" t="s">
        <v>88</v>
      </c>
      <c r="H36" s="94"/>
      <c r="I36" s="94"/>
    </row>
    <row r="37" spans="2:9" ht="16.5" x14ac:dyDescent="0.25">
      <c r="B37" s="18" t="s">
        <v>89</v>
      </c>
      <c r="C37" s="167" t="s">
        <v>282</v>
      </c>
      <c r="D37" s="168"/>
      <c r="E37" s="168"/>
      <c r="F37" s="168"/>
      <c r="G37" s="169"/>
      <c r="H37" s="94"/>
      <c r="I37" s="94"/>
    </row>
    <row r="38" spans="2:9" ht="17.25" x14ac:dyDescent="0.25">
      <c r="B38" s="18">
        <v>6</v>
      </c>
      <c r="C38" s="16" t="s">
        <v>90</v>
      </c>
      <c r="D38" s="15" t="s">
        <v>91</v>
      </c>
      <c r="E38" s="31" t="s">
        <v>11</v>
      </c>
      <c r="F38" s="64">
        <f>F39*F40</f>
        <v>0.69036000000000008</v>
      </c>
      <c r="G38" s="19" t="s">
        <v>249</v>
      </c>
      <c r="H38" s="94"/>
      <c r="I38" s="94"/>
    </row>
    <row r="39" spans="2:9" ht="105" x14ac:dyDescent="0.25">
      <c r="B39" s="18" t="s">
        <v>92</v>
      </c>
      <c r="C39" s="16" t="s">
        <v>93</v>
      </c>
      <c r="D39" s="15" t="s">
        <v>94</v>
      </c>
      <c r="E39" s="31" t="s">
        <v>16</v>
      </c>
      <c r="F39" s="39">
        <v>0.66</v>
      </c>
      <c r="G39" s="19" t="s">
        <v>320</v>
      </c>
      <c r="H39" s="94"/>
      <c r="I39" s="94"/>
    </row>
    <row r="40" spans="2:9" ht="75" x14ac:dyDescent="0.25">
      <c r="B40" s="18" t="s">
        <v>95</v>
      </c>
      <c r="C40" s="16" t="s">
        <v>96</v>
      </c>
      <c r="D40" s="15" t="s">
        <v>97</v>
      </c>
      <c r="E40" s="15" t="s">
        <v>16</v>
      </c>
      <c r="F40" s="104">
        <v>1.046</v>
      </c>
      <c r="G40" s="19" t="s">
        <v>98</v>
      </c>
      <c r="H40" s="94"/>
      <c r="I40" s="94"/>
    </row>
    <row r="41" spans="2:9" ht="16.5" x14ac:dyDescent="0.25">
      <c r="B41" s="18" t="s">
        <v>99</v>
      </c>
      <c r="C41" s="151" t="s">
        <v>283</v>
      </c>
      <c r="D41" s="152"/>
      <c r="E41" s="152"/>
      <c r="F41" s="152"/>
      <c r="G41" s="153"/>
      <c r="H41" s="94"/>
      <c r="I41" s="94"/>
    </row>
    <row r="42" spans="2:9" ht="17.25" x14ac:dyDescent="0.25">
      <c r="B42" s="18" t="s">
        <v>100</v>
      </c>
      <c r="C42" s="16" t="s">
        <v>101</v>
      </c>
      <c r="D42" s="15" t="s">
        <v>102</v>
      </c>
      <c r="E42" s="31" t="s">
        <v>11</v>
      </c>
      <c r="F42" s="64">
        <f>F43+F57</f>
        <v>11.841147002745696</v>
      </c>
      <c r="G42" s="19" t="s">
        <v>250</v>
      </c>
      <c r="H42" s="94"/>
      <c r="I42" s="94"/>
    </row>
    <row r="43" spans="2:9" ht="30" x14ac:dyDescent="0.25">
      <c r="B43" s="18" t="s">
        <v>103</v>
      </c>
      <c r="C43" s="16" t="s">
        <v>104</v>
      </c>
      <c r="D43" s="15" t="s">
        <v>105</v>
      </c>
      <c r="E43" s="31" t="s">
        <v>11</v>
      </c>
      <c r="F43" s="39">
        <f>(F45*(F48/F55))*F47*((F52/F46)+(F53*F54))*F44*(1+(F56/100))</f>
        <v>7.1341470027456966</v>
      </c>
      <c r="G43" s="19" t="s">
        <v>251</v>
      </c>
      <c r="H43" s="94"/>
      <c r="I43" s="94"/>
    </row>
    <row r="44" spans="2:9" ht="45" x14ac:dyDescent="0.25">
      <c r="B44" s="18" t="s">
        <v>106</v>
      </c>
      <c r="C44" s="66" t="s">
        <v>107</v>
      </c>
      <c r="D44" s="18">
        <v>1E-3</v>
      </c>
      <c r="E44" s="18" t="s">
        <v>16</v>
      </c>
      <c r="F44" s="18">
        <v>1E-3</v>
      </c>
      <c r="G44" s="67"/>
      <c r="H44" s="94"/>
      <c r="I44" s="94"/>
    </row>
    <row r="45" spans="2:9" x14ac:dyDescent="0.25">
      <c r="B45" s="18" t="s">
        <v>108</v>
      </c>
      <c r="C45" s="16" t="s">
        <v>14</v>
      </c>
      <c r="D45" s="15">
        <v>12</v>
      </c>
      <c r="E45" s="31" t="s">
        <v>15</v>
      </c>
      <c r="F45" s="32">
        <v>7</v>
      </c>
      <c r="G45" s="67"/>
      <c r="H45" s="94"/>
      <c r="I45" s="94"/>
    </row>
    <row r="46" spans="2:9" ht="60" x14ac:dyDescent="0.25">
      <c r="B46" s="18" t="s">
        <v>109</v>
      </c>
      <c r="C46" s="16" t="s">
        <v>253</v>
      </c>
      <c r="D46" s="15" t="s">
        <v>252</v>
      </c>
      <c r="E46" s="31" t="s">
        <v>182</v>
      </c>
      <c r="F46" s="39">
        <v>0.9</v>
      </c>
      <c r="G46" s="108" t="s">
        <v>254</v>
      </c>
      <c r="H46" s="94"/>
      <c r="I46" s="94"/>
    </row>
    <row r="47" spans="2:9" ht="30" x14ac:dyDescent="0.25">
      <c r="B47" s="30" t="s">
        <v>110</v>
      </c>
      <c r="C47" s="16" t="s">
        <v>38</v>
      </c>
      <c r="D47" s="15" t="s">
        <v>39</v>
      </c>
      <c r="E47" s="15" t="s">
        <v>182</v>
      </c>
      <c r="F47" s="104">
        <v>1.0469999999999999</v>
      </c>
      <c r="G47" s="33" t="str">
        <f>'501'!G47</f>
        <v>Индекс потребительский цен из прогноза Минэкономразвития РФ</v>
      </c>
      <c r="H47" s="94"/>
      <c r="I47" s="94"/>
    </row>
    <row r="48" spans="2:9" ht="30" x14ac:dyDescent="0.25">
      <c r="B48" s="19" t="s">
        <v>111</v>
      </c>
      <c r="C48" s="66" t="s">
        <v>257</v>
      </c>
      <c r="D48" s="15" t="s">
        <v>112</v>
      </c>
      <c r="E48" s="31" t="s">
        <v>21</v>
      </c>
      <c r="F48" s="17">
        <f>F49*F50*F51</f>
        <v>68790</v>
      </c>
      <c r="G48" s="19" t="s">
        <v>113</v>
      </c>
      <c r="H48" s="94"/>
      <c r="I48" s="94"/>
    </row>
    <row r="49" spans="2:9" ht="75" x14ac:dyDescent="0.25">
      <c r="B49" s="18" t="s">
        <v>114</v>
      </c>
      <c r="C49" s="16" t="s">
        <v>115</v>
      </c>
      <c r="D49" s="15" t="s">
        <v>24</v>
      </c>
      <c r="E49" s="31" t="s">
        <v>21</v>
      </c>
      <c r="F49" s="36">
        <f>F9</f>
        <v>68790</v>
      </c>
      <c r="G49" s="88" t="str">
        <f>'501'!G49</f>
        <v xml:space="preserve">согласно фактическим данным предриятий за 2024г. </v>
      </c>
      <c r="H49" s="94"/>
      <c r="I49" s="94"/>
    </row>
    <row r="50" spans="2:9" ht="45" x14ac:dyDescent="0.25">
      <c r="B50" s="18" t="s">
        <v>116</v>
      </c>
      <c r="C50" s="66" t="s">
        <v>284</v>
      </c>
      <c r="D50" s="15" t="s">
        <v>217</v>
      </c>
      <c r="E50" s="15" t="s">
        <v>182</v>
      </c>
      <c r="F50" s="39">
        <v>1</v>
      </c>
      <c r="G50" s="19"/>
      <c r="H50" s="94"/>
      <c r="I50" s="94"/>
    </row>
    <row r="51" spans="2:9" ht="45" x14ac:dyDescent="0.25">
      <c r="B51" s="18" t="s">
        <v>117</v>
      </c>
      <c r="C51" s="68" t="s">
        <v>29</v>
      </c>
      <c r="D51" s="38" t="s">
        <v>30</v>
      </c>
      <c r="E51" s="31" t="s">
        <v>12</v>
      </c>
      <c r="F51" s="39">
        <v>1</v>
      </c>
      <c r="G51" s="33" t="s">
        <v>31</v>
      </c>
      <c r="H51" s="94"/>
      <c r="I51" s="94"/>
    </row>
    <row r="52" spans="2:9" ht="105" x14ac:dyDescent="0.25">
      <c r="B52" s="18" t="s">
        <v>118</v>
      </c>
      <c r="C52" s="16" t="s">
        <v>119</v>
      </c>
      <c r="D52" s="15" t="s">
        <v>120</v>
      </c>
      <c r="E52" s="15" t="s">
        <v>16</v>
      </c>
      <c r="F52" s="39">
        <v>9.3000000000000007</v>
      </c>
      <c r="G52" s="19" t="s">
        <v>383</v>
      </c>
      <c r="H52" s="94"/>
      <c r="I52" s="94"/>
    </row>
    <row r="53" spans="2:9" ht="105" x14ac:dyDescent="0.25">
      <c r="B53" s="18" t="s">
        <v>122</v>
      </c>
      <c r="C53" s="16" t="s">
        <v>123</v>
      </c>
      <c r="D53" s="15" t="s">
        <v>124</v>
      </c>
      <c r="E53" s="15" t="s">
        <v>16</v>
      </c>
      <c r="F53" s="18">
        <v>7.8</v>
      </c>
      <c r="G53" s="19" t="s">
        <v>384</v>
      </c>
      <c r="H53" s="94"/>
      <c r="I53" s="94"/>
    </row>
    <row r="54" spans="2:9" ht="45" x14ac:dyDescent="0.25">
      <c r="B54" s="18" t="s">
        <v>125</v>
      </c>
      <c r="C54" s="16" t="s">
        <v>256</v>
      </c>
      <c r="D54" s="20" t="s">
        <v>255</v>
      </c>
      <c r="E54" s="15" t="s">
        <v>16</v>
      </c>
      <c r="F54" s="39">
        <f>SUM('КЗп, КЗ, КЗЧ'!C4)</f>
        <v>1.2</v>
      </c>
      <c r="G54" s="19" t="s">
        <v>254</v>
      </c>
      <c r="H54" s="94"/>
      <c r="I54" s="94"/>
    </row>
    <row r="55" spans="2:9" ht="30" x14ac:dyDescent="0.25">
      <c r="B55" s="18" t="s">
        <v>126</v>
      </c>
      <c r="C55" s="16" t="s">
        <v>43</v>
      </c>
      <c r="D55" s="15" t="s">
        <v>44</v>
      </c>
      <c r="E55" s="15" t="s">
        <v>8</v>
      </c>
      <c r="F55" s="12">
        <v>1812</v>
      </c>
      <c r="G55" s="19"/>
      <c r="H55" s="94"/>
      <c r="I55" s="94"/>
    </row>
    <row r="56" spans="2:9" ht="30" x14ac:dyDescent="0.25">
      <c r="B56" s="18" t="s">
        <v>127</v>
      </c>
      <c r="C56" s="16" t="s">
        <v>55</v>
      </c>
      <c r="D56" s="15" t="s">
        <v>56</v>
      </c>
      <c r="E56" s="31" t="s">
        <v>57</v>
      </c>
      <c r="F56" s="69">
        <v>30.2</v>
      </c>
      <c r="G56" s="19" t="s">
        <v>58</v>
      </c>
      <c r="H56" s="94"/>
      <c r="I56" s="94"/>
    </row>
    <row r="57" spans="2:9" ht="45" x14ac:dyDescent="0.25">
      <c r="B57" s="18" t="s">
        <v>128</v>
      </c>
      <c r="C57" s="16" t="s">
        <v>129</v>
      </c>
      <c r="D57" s="15" t="s">
        <v>130</v>
      </c>
      <c r="E57" s="31" t="s">
        <v>11</v>
      </c>
      <c r="F57" s="39">
        <f>F58*F59*F60</f>
        <v>4.7069999999999999</v>
      </c>
      <c r="G57" s="19" t="s">
        <v>259</v>
      </c>
      <c r="H57" s="94"/>
      <c r="I57" s="94"/>
    </row>
    <row r="58" spans="2:9" ht="105" x14ac:dyDescent="0.25">
      <c r="B58" s="18" t="s">
        <v>131</v>
      </c>
      <c r="C58" s="16" t="s">
        <v>132</v>
      </c>
      <c r="D58" s="15" t="s">
        <v>133</v>
      </c>
      <c r="E58" s="15" t="s">
        <v>182</v>
      </c>
      <c r="F58" s="39">
        <v>3.6</v>
      </c>
      <c r="G58" s="19" t="s">
        <v>385</v>
      </c>
      <c r="H58" s="94"/>
      <c r="I58" s="94"/>
    </row>
    <row r="59" spans="2:9" ht="45" x14ac:dyDescent="0.25">
      <c r="B59" s="18" t="s">
        <v>134</v>
      </c>
      <c r="C59" s="16" t="s">
        <v>258</v>
      </c>
      <c r="D59" s="15" t="s">
        <v>135</v>
      </c>
      <c r="E59" s="15" t="s">
        <v>182</v>
      </c>
      <c r="F59" s="39">
        <f>SUM('КЗп, КЗ, КЗЧ'!D4)</f>
        <v>1.25</v>
      </c>
      <c r="G59" s="19" t="s">
        <v>145</v>
      </c>
      <c r="H59" s="94"/>
      <c r="I59" s="94"/>
    </row>
    <row r="60" spans="2:9" ht="75" x14ac:dyDescent="0.25">
      <c r="B60" s="18" t="s">
        <v>134</v>
      </c>
      <c r="C60" s="16" t="s">
        <v>96</v>
      </c>
      <c r="D60" s="15" t="s">
        <v>97</v>
      </c>
      <c r="E60" s="15" t="s">
        <v>16</v>
      </c>
      <c r="F60" s="89">
        <v>1.046</v>
      </c>
      <c r="G60" s="85" t="s">
        <v>136</v>
      </c>
      <c r="H60" s="94"/>
      <c r="I60" s="94"/>
    </row>
    <row r="61" spans="2:9" ht="16.5" x14ac:dyDescent="0.25">
      <c r="B61" s="70" t="s">
        <v>137</v>
      </c>
      <c r="C61" s="170" t="s">
        <v>138</v>
      </c>
      <c r="D61" s="171"/>
      <c r="E61" s="171"/>
      <c r="F61" s="171"/>
      <c r="G61" s="171"/>
      <c r="H61" s="94"/>
      <c r="I61" s="94"/>
    </row>
    <row r="62" spans="2:9" ht="45" x14ac:dyDescent="0.25">
      <c r="B62" s="18">
        <v>8</v>
      </c>
      <c r="C62" s="63" t="s">
        <v>139</v>
      </c>
      <c r="D62" s="71" t="s">
        <v>140</v>
      </c>
      <c r="E62" s="72" t="s">
        <v>11</v>
      </c>
      <c r="F62" s="50">
        <f>F63*(F64+F65+F66+F67)</f>
        <v>27.612312527501576</v>
      </c>
      <c r="G62" s="19" t="s">
        <v>260</v>
      </c>
      <c r="H62" s="94"/>
      <c r="I62" s="94"/>
    </row>
    <row r="63" spans="2:9" ht="45" x14ac:dyDescent="0.25">
      <c r="B63" s="18" t="s">
        <v>141</v>
      </c>
      <c r="C63" s="37" t="s">
        <v>142</v>
      </c>
      <c r="D63" s="73" t="s">
        <v>143</v>
      </c>
      <c r="E63" s="74" t="s">
        <v>144</v>
      </c>
      <c r="F63" s="18">
        <v>0.755</v>
      </c>
      <c r="G63" s="19" t="s">
        <v>145</v>
      </c>
      <c r="H63" s="94"/>
      <c r="I63" s="94"/>
    </row>
    <row r="64" spans="2:9" ht="17.25" x14ac:dyDescent="0.25">
      <c r="B64" s="18" t="s">
        <v>146</v>
      </c>
      <c r="C64" s="56" t="s">
        <v>60</v>
      </c>
      <c r="D64" s="57" t="s">
        <v>61</v>
      </c>
      <c r="E64" s="58" t="s">
        <v>11</v>
      </c>
      <c r="F64" s="75">
        <f>F36</f>
        <v>22.363806857142858</v>
      </c>
      <c r="G64" s="76"/>
      <c r="H64" s="94"/>
      <c r="I64" s="94"/>
    </row>
    <row r="65" spans="2:9" ht="30" x14ac:dyDescent="0.25">
      <c r="B65" s="18" t="s">
        <v>147</v>
      </c>
      <c r="C65" s="16" t="s">
        <v>85</v>
      </c>
      <c r="D65" s="15" t="s">
        <v>86</v>
      </c>
      <c r="E65" s="58" t="s">
        <v>11</v>
      </c>
      <c r="F65" s="77">
        <f>F35</f>
        <v>1.6772855142857144</v>
      </c>
      <c r="G65" s="78"/>
      <c r="H65" s="94"/>
      <c r="I65" s="94"/>
    </row>
    <row r="66" spans="2:9" ht="17.25" x14ac:dyDescent="0.25">
      <c r="B66" s="21" t="s">
        <v>148</v>
      </c>
      <c r="C66" s="16" t="s">
        <v>90</v>
      </c>
      <c r="D66" s="15" t="s">
        <v>91</v>
      </c>
      <c r="E66" s="31" t="s">
        <v>11</v>
      </c>
      <c r="F66" s="77">
        <f>F38</f>
        <v>0.69036000000000008</v>
      </c>
      <c r="G66" s="78"/>
      <c r="H66" s="94"/>
      <c r="I66" s="94"/>
    </row>
    <row r="67" spans="2:9" ht="17.25" x14ac:dyDescent="0.25">
      <c r="B67" s="21" t="s">
        <v>149</v>
      </c>
      <c r="C67" s="16" t="s">
        <v>101</v>
      </c>
      <c r="D67" s="15" t="s">
        <v>102</v>
      </c>
      <c r="E67" s="31" t="s">
        <v>11</v>
      </c>
      <c r="F67" s="77">
        <f>F42</f>
        <v>11.841147002745696</v>
      </c>
      <c r="G67" s="78"/>
      <c r="H67" s="94"/>
      <c r="I67" s="94"/>
    </row>
    <row r="68" spans="2:9" ht="16.5" x14ac:dyDescent="0.25">
      <c r="B68" s="21" t="s">
        <v>150</v>
      </c>
      <c r="C68" s="151" t="s">
        <v>151</v>
      </c>
      <c r="D68" s="152"/>
      <c r="E68" s="152"/>
      <c r="F68" s="152"/>
      <c r="G68" s="153"/>
      <c r="H68" s="94"/>
      <c r="I68" s="94"/>
    </row>
    <row r="69" spans="2:9" ht="31.5" x14ac:dyDescent="0.25">
      <c r="B69" s="18">
        <v>9</v>
      </c>
      <c r="C69" s="16" t="s">
        <v>152</v>
      </c>
      <c r="D69" s="15" t="s">
        <v>153</v>
      </c>
      <c r="E69" s="31" t="s">
        <v>11</v>
      </c>
      <c r="F69" s="79">
        <f>F6+F18+F21+F26+F35+F38+F42+F62</f>
        <v>77.425489441615952</v>
      </c>
      <c r="G69" s="19" t="s">
        <v>154</v>
      </c>
      <c r="H69" s="94"/>
      <c r="I69" s="94"/>
    </row>
    <row r="70" spans="2:9" x14ac:dyDescent="0.25">
      <c r="B70" s="22"/>
      <c r="C70" s="22"/>
      <c r="D70" s="22"/>
      <c r="E70" s="22"/>
      <c r="F70" s="22"/>
      <c r="G70" s="22"/>
      <c r="H70" s="97"/>
      <c r="I70" s="97"/>
    </row>
    <row r="71" spans="2:9" ht="19.5" x14ac:dyDescent="0.3">
      <c r="B71" s="154" t="s">
        <v>155</v>
      </c>
      <c r="C71" s="154"/>
      <c r="D71" s="154"/>
      <c r="E71" s="154"/>
      <c r="F71" s="154"/>
      <c r="G71" s="154"/>
      <c r="H71" s="97"/>
      <c r="I71" s="97"/>
    </row>
    <row r="72" spans="2:9" x14ac:dyDescent="0.25">
      <c r="B72" s="23"/>
      <c r="C72" s="23"/>
      <c r="D72" s="23"/>
      <c r="E72" s="23"/>
      <c r="F72" s="23"/>
      <c r="G72" s="23"/>
      <c r="H72" s="97"/>
      <c r="I72" s="97"/>
    </row>
    <row r="73" spans="2:9" ht="30" x14ac:dyDescent="0.25">
      <c r="B73" s="18">
        <v>10</v>
      </c>
      <c r="C73" s="16" t="s">
        <v>156</v>
      </c>
      <c r="D73" s="20" t="s">
        <v>157</v>
      </c>
      <c r="E73" s="31" t="s">
        <v>21</v>
      </c>
      <c r="F73" s="17">
        <f>(F74*F75*F76/F77)+F79*F80*F78*F82*F83/(12*F81)</f>
        <v>1168135.614029021</v>
      </c>
      <c r="G73" s="19" t="s">
        <v>261</v>
      </c>
      <c r="H73" s="97"/>
      <c r="I73" s="97"/>
    </row>
    <row r="74" spans="2:9" ht="17.25" x14ac:dyDescent="0.25">
      <c r="B74" s="80" t="s">
        <v>158</v>
      </c>
      <c r="C74" s="16" t="s">
        <v>159</v>
      </c>
      <c r="D74" s="15" t="s">
        <v>153</v>
      </c>
      <c r="E74" s="31" t="s">
        <v>11</v>
      </c>
      <c r="F74" s="17">
        <f>F69</f>
        <v>77.425489441615952</v>
      </c>
      <c r="G74" s="19" t="s">
        <v>12</v>
      </c>
      <c r="H74" s="97"/>
      <c r="I74" s="97"/>
    </row>
    <row r="75" spans="2:9" ht="30" x14ac:dyDescent="0.25">
      <c r="B75" s="18" t="s">
        <v>160</v>
      </c>
      <c r="C75" s="16" t="s">
        <v>161</v>
      </c>
      <c r="D75" s="15" t="s">
        <v>262</v>
      </c>
      <c r="E75" s="31" t="s">
        <v>144</v>
      </c>
      <c r="F75" s="20">
        <v>1.0960000000000001</v>
      </c>
      <c r="G75" s="19" t="s">
        <v>16</v>
      </c>
      <c r="H75" s="97"/>
      <c r="I75" s="97"/>
    </row>
    <row r="76" spans="2:9" ht="30" customHeight="1" x14ac:dyDescent="0.25">
      <c r="B76" s="18" t="s">
        <v>162</v>
      </c>
      <c r="C76" s="16" t="s">
        <v>18</v>
      </c>
      <c r="D76" s="15" t="s">
        <v>17</v>
      </c>
      <c r="E76" s="31" t="s">
        <v>19</v>
      </c>
      <c r="F76" s="122">
        <v>12526.8</v>
      </c>
      <c r="G76" s="111" t="s">
        <v>375</v>
      </c>
      <c r="H76" s="97"/>
      <c r="I76" s="97"/>
    </row>
    <row r="77" spans="2:9" ht="60" x14ac:dyDescent="0.25">
      <c r="B77" s="18" t="s">
        <v>163</v>
      </c>
      <c r="C77" s="16" t="s">
        <v>164</v>
      </c>
      <c r="D77" s="15" t="s">
        <v>165</v>
      </c>
      <c r="E77" s="31" t="s">
        <v>16</v>
      </c>
      <c r="F77" s="85">
        <v>0.91</v>
      </c>
      <c r="G77" s="111" t="s">
        <v>314</v>
      </c>
      <c r="H77" s="97"/>
      <c r="I77" s="97"/>
    </row>
    <row r="78" spans="2:9" ht="30" x14ac:dyDescent="0.25">
      <c r="B78" s="80" t="s">
        <v>166</v>
      </c>
      <c r="C78" s="16" t="s">
        <v>265</v>
      </c>
      <c r="D78" s="15" t="s">
        <v>266</v>
      </c>
      <c r="E78" s="31" t="s">
        <v>182</v>
      </c>
      <c r="F78" s="81">
        <v>1</v>
      </c>
      <c r="G78" s="19" t="s">
        <v>267</v>
      </c>
      <c r="H78" s="97"/>
      <c r="I78" s="97"/>
    </row>
    <row r="79" spans="2:9" ht="30" x14ac:dyDescent="0.25">
      <c r="B79" s="80" t="s">
        <v>167</v>
      </c>
      <c r="C79" s="16" t="s">
        <v>263</v>
      </c>
      <c r="D79" s="15" t="s">
        <v>168</v>
      </c>
      <c r="E79" s="31" t="s">
        <v>169</v>
      </c>
      <c r="F79" s="110">
        <v>1</v>
      </c>
      <c r="G79" s="85" t="s">
        <v>170</v>
      </c>
      <c r="H79" s="97"/>
      <c r="I79" s="97"/>
    </row>
    <row r="80" spans="2:9" ht="60" x14ac:dyDescent="0.25">
      <c r="B80" s="80" t="s">
        <v>171</v>
      </c>
      <c r="C80" s="16" t="s">
        <v>172</v>
      </c>
      <c r="D80" s="15" t="s">
        <v>173</v>
      </c>
      <c r="E80" s="31" t="s">
        <v>21</v>
      </c>
      <c r="F80" s="112">
        <v>0</v>
      </c>
      <c r="G80" s="85" t="s">
        <v>174</v>
      </c>
      <c r="H80" s="97"/>
      <c r="I80" s="97"/>
    </row>
    <row r="81" spans="2:9" ht="30" x14ac:dyDescent="0.25">
      <c r="B81" s="80" t="s">
        <v>175</v>
      </c>
      <c r="C81" s="16" t="s">
        <v>176</v>
      </c>
      <c r="D81" s="15" t="s">
        <v>177</v>
      </c>
      <c r="E81" s="31" t="s">
        <v>178</v>
      </c>
      <c r="F81" s="32">
        <v>5</v>
      </c>
      <c r="G81" s="19" t="s">
        <v>264</v>
      </c>
      <c r="H81" s="97"/>
      <c r="I81" s="97"/>
    </row>
    <row r="82" spans="2:9" ht="60" x14ac:dyDescent="0.25">
      <c r="B82" s="80" t="s">
        <v>179</v>
      </c>
      <c r="C82" s="16" t="s">
        <v>180</v>
      </c>
      <c r="D82" s="15" t="s">
        <v>181</v>
      </c>
      <c r="E82" s="31" t="s">
        <v>182</v>
      </c>
      <c r="F82" s="65">
        <v>1.046</v>
      </c>
      <c r="G82" s="19" t="s">
        <v>183</v>
      </c>
      <c r="H82" s="97"/>
      <c r="I82" s="97"/>
    </row>
    <row r="83" spans="2:9" ht="30" x14ac:dyDescent="0.25">
      <c r="B83" s="82" t="s">
        <v>268</v>
      </c>
      <c r="C83" s="16" t="s">
        <v>184</v>
      </c>
      <c r="D83" s="15" t="s">
        <v>185</v>
      </c>
      <c r="E83" s="31" t="s">
        <v>219</v>
      </c>
      <c r="F83" s="110">
        <v>7</v>
      </c>
      <c r="G83" s="111" t="s">
        <v>375</v>
      </c>
      <c r="H83" s="97"/>
      <c r="I83" s="97"/>
    </row>
    <row r="84" spans="2:9" ht="60" x14ac:dyDescent="0.25">
      <c r="B84" s="80" t="s">
        <v>298</v>
      </c>
      <c r="C84" s="16" t="s">
        <v>240</v>
      </c>
      <c r="D84" s="15" t="s">
        <v>239</v>
      </c>
      <c r="E84" s="31" t="s">
        <v>19</v>
      </c>
      <c r="F84" s="127">
        <f>2*40*94.9*2</f>
        <v>15184</v>
      </c>
      <c r="G84" s="85"/>
      <c r="H84" s="97"/>
      <c r="I84" s="97"/>
    </row>
    <row r="85" spans="2:9" ht="30" customHeight="1" x14ac:dyDescent="0.25">
      <c r="B85" s="82" t="s">
        <v>299</v>
      </c>
      <c r="C85" s="19" t="s">
        <v>269</v>
      </c>
      <c r="D85" s="15" t="s">
        <v>186</v>
      </c>
      <c r="E85" s="31" t="s">
        <v>187</v>
      </c>
      <c r="F85" s="114">
        <f>F76*19</f>
        <v>238009.19999999998</v>
      </c>
      <c r="G85" s="85" t="s">
        <v>188</v>
      </c>
      <c r="H85" s="97"/>
      <c r="I85" s="97"/>
    </row>
    <row r="86" spans="2:9" ht="30" customHeight="1" x14ac:dyDescent="0.25">
      <c r="B86" s="80" t="s">
        <v>300</v>
      </c>
      <c r="C86" s="19" t="s">
        <v>270</v>
      </c>
      <c r="D86" s="15" t="s">
        <v>189</v>
      </c>
      <c r="E86" s="31" t="s">
        <v>187</v>
      </c>
      <c r="F86" s="114">
        <f>F85</f>
        <v>238009.19999999998</v>
      </c>
      <c r="G86" s="85" t="s">
        <v>190</v>
      </c>
      <c r="H86" s="97"/>
      <c r="I86" s="97"/>
    </row>
    <row r="87" spans="2:9" ht="45.75" customHeight="1" x14ac:dyDescent="0.25">
      <c r="B87" s="82" t="s">
        <v>301</v>
      </c>
      <c r="C87" s="19" t="s">
        <v>295</v>
      </c>
      <c r="D87" s="15" t="s">
        <v>191</v>
      </c>
      <c r="E87" s="31" t="s">
        <v>21</v>
      </c>
      <c r="F87" s="141">
        <v>228625.61</v>
      </c>
      <c r="G87" s="85" t="s">
        <v>296</v>
      </c>
      <c r="H87" s="97"/>
      <c r="I87" s="97"/>
    </row>
    <row r="88" spans="2:9" ht="46.5" customHeight="1" x14ac:dyDescent="0.25">
      <c r="B88" s="80" t="s">
        <v>302</v>
      </c>
      <c r="C88" s="18" t="s">
        <v>192</v>
      </c>
      <c r="D88" s="15" t="s">
        <v>193</v>
      </c>
      <c r="E88" s="15" t="s">
        <v>182</v>
      </c>
      <c r="F88" s="128">
        <v>1.0409999999999999</v>
      </c>
      <c r="G88" s="84" t="s">
        <v>294</v>
      </c>
      <c r="H88" s="97"/>
      <c r="I88" s="97"/>
    </row>
    <row r="89" spans="2:9" ht="26.25" customHeight="1" x14ac:dyDescent="0.25">
      <c r="B89" s="82" t="s">
        <v>303</v>
      </c>
      <c r="C89" s="18"/>
      <c r="D89" s="15" t="s">
        <v>231</v>
      </c>
      <c r="E89" s="31" t="s">
        <v>21</v>
      </c>
      <c r="F89" s="83">
        <v>0</v>
      </c>
      <c r="G89" s="84" t="s">
        <v>233</v>
      </c>
      <c r="H89" s="97"/>
      <c r="I89" s="97"/>
    </row>
    <row r="90" spans="2:9" ht="24" customHeight="1" x14ac:dyDescent="0.25">
      <c r="B90" s="80" t="s">
        <v>304</v>
      </c>
      <c r="C90" s="18"/>
      <c r="D90" s="15" t="s">
        <v>232</v>
      </c>
      <c r="E90" s="31" t="s">
        <v>21</v>
      </c>
      <c r="F90" s="83">
        <v>0</v>
      </c>
      <c r="G90" s="84" t="s">
        <v>234</v>
      </c>
      <c r="H90" s="97"/>
      <c r="I90" s="97"/>
    </row>
    <row r="91" spans="2:9" ht="19.5" customHeight="1" x14ac:dyDescent="0.25">
      <c r="B91" s="82" t="s">
        <v>305</v>
      </c>
      <c r="C91" s="18"/>
      <c r="D91" s="15" t="s">
        <v>236</v>
      </c>
      <c r="E91" s="31" t="s">
        <v>182</v>
      </c>
      <c r="F91" s="83">
        <v>1</v>
      </c>
      <c r="G91" s="84" t="s">
        <v>237</v>
      </c>
      <c r="H91" s="97"/>
      <c r="I91" s="97"/>
    </row>
    <row r="92" spans="2:9" x14ac:dyDescent="0.25">
      <c r="B92" s="80" t="s">
        <v>306</v>
      </c>
      <c r="C92" s="18"/>
      <c r="D92" s="15" t="s">
        <v>194</v>
      </c>
      <c r="E92" s="15"/>
      <c r="F92" s="90">
        <f>F73-F87</f>
        <v>939510.00402902102</v>
      </c>
      <c r="G92" s="19" t="s">
        <v>235</v>
      </c>
      <c r="H92" s="97"/>
      <c r="I92" s="97"/>
    </row>
    <row r="93" spans="2:9" x14ac:dyDescent="0.25">
      <c r="B93" s="93"/>
      <c r="C93" s="93"/>
      <c r="D93" s="93"/>
      <c r="E93" s="93"/>
      <c r="F93" s="95"/>
      <c r="G93" s="96"/>
      <c r="H93" s="97"/>
      <c r="I93" s="97"/>
    </row>
    <row r="94" spans="2:9" x14ac:dyDescent="0.25">
      <c r="B94" s="93"/>
      <c r="C94" s="93"/>
      <c r="D94" s="98"/>
      <c r="E94" s="98"/>
      <c r="F94" s="96"/>
      <c r="G94" s="99"/>
      <c r="H94" s="97"/>
      <c r="I94" s="97"/>
    </row>
    <row r="95" spans="2:9" x14ac:dyDescent="0.25">
      <c r="B95" s="100"/>
      <c r="C95" s="100"/>
      <c r="D95" s="100"/>
      <c r="E95" s="100"/>
      <c r="F95" s="101"/>
      <c r="G95" s="102"/>
      <c r="H95" s="100"/>
      <c r="I95" s="100"/>
    </row>
  </sheetData>
  <mergeCells count="12">
    <mergeCell ref="B71:G71"/>
    <mergeCell ref="B1:G1"/>
    <mergeCell ref="C2:G2"/>
    <mergeCell ref="C5:G5"/>
    <mergeCell ref="C17:G17"/>
    <mergeCell ref="C20:G20"/>
    <mergeCell ref="C25:G25"/>
    <mergeCell ref="C34:G34"/>
    <mergeCell ref="C37:G37"/>
    <mergeCell ref="C41:G41"/>
    <mergeCell ref="C61:G61"/>
    <mergeCell ref="C68:G68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9"/>
  <sheetViews>
    <sheetView workbookViewId="0">
      <selection activeCell="A4" sqref="A4:C5"/>
    </sheetView>
  </sheetViews>
  <sheetFormatPr defaultRowHeight="15" x14ac:dyDescent="0.25"/>
  <cols>
    <col min="2" max="2" width="24.140625" customWidth="1"/>
    <col min="3" max="3" width="19.140625" customWidth="1"/>
  </cols>
  <sheetData>
    <row r="1" spans="1:3" ht="69" customHeight="1" x14ac:dyDescent="0.25">
      <c r="A1" s="178" t="s">
        <v>195</v>
      </c>
      <c r="B1" s="178" t="s">
        <v>196</v>
      </c>
      <c r="C1" s="4" t="s">
        <v>197</v>
      </c>
    </row>
    <row r="2" spans="1:3" ht="21" customHeight="1" x14ac:dyDescent="0.25">
      <c r="A2" s="178"/>
      <c r="B2" s="178"/>
      <c r="C2" s="14" t="s">
        <v>198</v>
      </c>
    </row>
    <row r="3" spans="1:3" ht="30" x14ac:dyDescent="0.25">
      <c r="A3" s="14">
        <v>1</v>
      </c>
      <c r="B3" s="4" t="s">
        <v>199</v>
      </c>
      <c r="C3" s="14">
        <v>1.08</v>
      </c>
    </row>
    <row r="4" spans="1:3" ht="30" x14ac:dyDescent="0.25">
      <c r="A4" s="119">
        <v>2</v>
      </c>
      <c r="B4" s="123" t="s">
        <v>200</v>
      </c>
      <c r="C4" s="119">
        <v>1.1499999999999999</v>
      </c>
    </row>
    <row r="5" spans="1:3" ht="30" x14ac:dyDescent="0.25">
      <c r="A5" s="119">
        <v>3</v>
      </c>
      <c r="B5" s="123" t="s">
        <v>201</v>
      </c>
      <c r="C5" s="119">
        <v>1.28</v>
      </c>
    </row>
    <row r="6" spans="1:3" ht="30" x14ac:dyDescent="0.25">
      <c r="A6" s="14">
        <v>4</v>
      </c>
      <c r="B6" s="4" t="s">
        <v>202</v>
      </c>
      <c r="C6" s="14">
        <v>1.85</v>
      </c>
    </row>
    <row r="7" spans="1:3" ht="30" x14ac:dyDescent="0.25">
      <c r="A7" s="14">
        <v>5</v>
      </c>
      <c r="B7" s="4" t="s">
        <v>203</v>
      </c>
      <c r="C7" s="14">
        <v>1.95</v>
      </c>
    </row>
    <row r="8" spans="1:3" ht="20.25" customHeight="1" x14ac:dyDescent="0.25">
      <c r="A8" s="14">
        <v>6</v>
      </c>
      <c r="B8" s="5" t="s">
        <v>204</v>
      </c>
      <c r="C8" s="14">
        <v>0.95</v>
      </c>
    </row>
    <row r="9" spans="1:3" ht="24.75" customHeight="1" x14ac:dyDescent="0.25">
      <c r="A9" s="14">
        <v>7</v>
      </c>
      <c r="B9" s="4" t="s">
        <v>205</v>
      </c>
      <c r="C9" s="14">
        <v>1</v>
      </c>
    </row>
  </sheetData>
  <mergeCells count="2">
    <mergeCell ref="A1:A2"/>
    <mergeCell ref="B1:B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2022</vt:lpstr>
      <vt:lpstr>Реестр</vt:lpstr>
      <vt:lpstr>121</vt:lpstr>
      <vt:lpstr>122</vt:lpstr>
      <vt:lpstr>500</vt:lpstr>
      <vt:lpstr>501</vt:lpstr>
      <vt:lpstr>504</vt:lpstr>
      <vt:lpstr>502</vt:lpstr>
      <vt:lpstr>Кзпi Кзп</vt:lpstr>
      <vt:lpstr>КЗп, КЗ, КЗЧ</vt:lpstr>
      <vt:lpstr>Индексы</vt:lpstr>
      <vt:lpstr>Кпр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Осмакова АВ</dc:creator>
  <cp:lastModifiedBy>Матвеева ОР</cp:lastModifiedBy>
  <cp:lastPrinted>2025-04-29T10:31:17Z</cp:lastPrinted>
  <dcterms:created xsi:type="dcterms:W3CDTF">2015-06-05T18:19:34Z</dcterms:created>
  <dcterms:modified xsi:type="dcterms:W3CDTF">2025-04-29T10:34:27Z</dcterms:modified>
</cp:coreProperties>
</file>